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a8161d424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7f51cd44f0ee443b"/>
    <x:sheet xmlns:r="http://schemas.openxmlformats.org/officeDocument/2006/relationships" name="Assumptions" sheetId="2" r:id="R9ade2eb204284c44"/>
    <x:sheet xmlns:r="http://schemas.openxmlformats.org/officeDocument/2006/relationships" name="Annual model" sheetId="3" r:id="Redc68ea2fab043ca"/>
    <x:sheet xmlns:r="http://schemas.openxmlformats.org/officeDocument/2006/relationships" name="40-year outlook" sheetId="4" r:id="R164980ef0d4841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%"/>
    <x:numFmt numFmtId="201" formatCode="$#,##0;($#,##0);–"/>
    <x:numFmt numFmtId="202" formatCode="#,##0;(#,##0);–"/>
    <x:numFmt numFmtId="203" formatCode="$0.0,,&quot;m&quot;;($0.0,,&quot;m&quot;);–"/>
    <x:numFmt numFmtId="204" formatCode="$#,##0;($#,##0);$0"/>
    <x:numFmt numFmtId="205" formatCode="$0.0;($0.0);–"/>
  </x:numFmts>
  <x:fonts count="9">
    <x:font>
      <x:sz val="11"/>
      <x:name val="Carlito"/>
    </x:font>
    <x:font>
      <x:sz val="10"/>
      <x:color rgb="FF203246"/>
      <x:name val="Arial"/>
    </x:font>
    <x:font>
      <x:b/>
      <x:sz val="15"/>
      <x:color rgb="FF17283D"/>
      <x:name val="Arial"/>
    </x:font>
    <x:font>
      <x:b/>
      <x:sz val="10"/>
      <x:color rgb="FFFFFFFF"/>
      <x:name val="Arial"/>
    </x:font>
    <x:font>
      <x:sz val="10"/>
      <x:color rgb="FF235E8E"/>
      <x:name val="Arial"/>
    </x:font>
    <x:font>
      <x:b/>
      <x:sz val="10"/>
      <x:color rgb="FF203246"/>
      <x:name val="Arial"/>
    </x:font>
    <x:font>
      <x:b/>
      <x:sz val="10"/>
      <x:color rgb="FF17283D"/>
      <x:name val="Arial"/>
    </x:font>
    <x:font>
      <x:b/>
      <x:sz val="11"/>
      <x:color rgb="FF17283D"/>
      <x:name val="Arial"/>
    </x:font>
    <x:font>
      <x:i/>
      <x:sz val="9"/>
      <x:color rgb="FF64778B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7283D"/>
      </x:patternFill>
    </x:fill>
    <x:fill>
      <x:patternFill patternType="solid">
        <x:fgColor rgb="FFF6F9FB"/>
      </x:patternFill>
    </x:fill>
    <x:fill>
      <x:patternFill patternType="solid">
        <x:fgColor rgb="FF235E8E"/>
      </x:patternFill>
    </x:fill>
    <x:fill>
      <x:patternFill patternType="solid">
        <x:fgColor rgb="FFF0F4F8"/>
      </x:patternFill>
    </x:fill>
    <x:fill>
      <x:patternFill patternType="solid">
        <x:fgColor rgb="FFDCECF8"/>
      </x:patternFill>
    </x:fill>
    <x:fill>
      <x:patternFill patternType="solid">
        <x:fgColor rgb="FFEEF4F8"/>
      </x:patternFill>
    </x:fill>
    <x:fill>
      <x:patternFill patternType="solid">
        <x:fgColor rgb="FFDDEFE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E9A455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0" borderId="0" xfId="0" applyNumberFormat="1" applyFont="1" applyFill="1" applyBorder="1"/>
    <x:xf numFmtId="200" fontId="4" fillId="3" borderId="0" xfId="0" applyNumberFormat="1" applyFont="1" applyFill="1" applyBorder="1"/>
    <x:xf numFmtId="201" fontId="4" fillId="0" borderId="0" xfId="0" applyNumberFormat="1" applyFont="1" applyFill="1" applyBorder="1"/>
    <x:xf numFmtId="201" fontId="4" fillId="3" borderId="0" xfId="0" applyNumberFormat="1" applyFont="1" applyFill="1" applyBorder="1"/>
    <x:xf numFmtId="202" fontId="4" fillId="0" borderId="0" xfId="0" applyNumberFormat="1" applyFont="1" applyFill="1" applyBorder="1"/>
    <x:xf numFmtId="202" fontId="4" fillId="3" borderId="0" xfId="0" applyNumberFormat="1" applyFont="1" applyFill="1" applyBorder="1"/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0" fontId="1" fillId="5" borderId="0" xfId="0" applyNumberFormat="1" applyFont="1" applyFill="1" applyBorder="1"/>
    <x:xf numFmtId="203" fontId="1" fillId="5" borderId="0" xfId="0" applyNumberFormat="1" applyFont="1" applyFill="1" applyBorder="1"/>
    <x:xf numFmtId="0" fontId="5" fillId="5" borderId="0" xfId="0" applyNumberFormat="1" applyFont="1" applyFill="1" applyBorder="1"/>
    <x:xf numFmtId="203" fontId="5" fillId="5" borderId="0" xfId="0" applyNumberFormat="1" applyFont="1" applyFill="1" applyBorder="1"/>
    <x:xf numFmtId="0" fontId="1" fillId="6" borderId="0" xfId="0" applyNumberFormat="1" applyFont="1" applyFill="1" applyBorder="1"/>
    <x:xf numFmtId="203" fontId="1" fillId="6" borderId="0" xfId="0" applyNumberFormat="1" applyFont="1" applyFill="1" applyBorder="1"/>
    <x:xf numFmtId="0" fontId="6" fillId="6" borderId="0" xfId="0" applyNumberFormat="1" applyFont="1" applyFill="1" applyBorder="1"/>
    <x:xf numFmtId="203" fontId="6" fillId="6" borderId="0" xfId="0" applyNumberFormat="1" applyFont="1" applyFill="1" applyBorder="1"/>
    <x:xf numFmtId="0" fontId="0" fillId="4" borderId="0" xfId="0" applyNumberFormat="1" applyFont="1" applyFill="1" applyBorder="1"/>
    <x:xf numFmtId="203" fontId="0" fillId="0" borderId="0" xfId="0" applyNumberFormat="1" applyFont="1" applyFill="1" applyBorder="1"/>
    <x:xf numFmtId="202" fontId="1" fillId="6" borderId="0" xfId="0" applyNumberFormat="1" applyFont="1" applyFill="1" applyBorder="1"/>
    <x:xf numFmtId="202" fontId="6" fillId="6" borderId="0" xfId="0" applyNumberFormat="1" applyFont="1" applyFill="1" applyBorder="1"/>
    <x:xf numFmtId="0" fontId="1" fillId="7" borderId="0" xfId="0" applyNumberFormat="1" applyFont="1" applyFill="1" applyBorder="1"/>
    <x:xf numFmtId="202" fontId="1" fillId="7" borderId="0" xfId="0" applyNumberFormat="1" applyFont="1" applyFill="1" applyBorder="1"/>
    <x:xf numFmtId="203" fontId="1" fillId="7" borderId="0" xfId="0" applyNumberFormat="1" applyFont="1" applyFill="1" applyBorder="1"/>
    <x:xf numFmtId="0" fontId="6" fillId="7" borderId="0" xfId="0" applyNumberFormat="1" applyFont="1" applyFill="1" applyBorder="1"/>
    <x:xf numFmtId="202" fontId="6" fillId="7" borderId="0" xfId="0" applyNumberFormat="1" applyFont="1" applyFill="1" applyBorder="1"/>
    <x:xf numFmtId="203" fontId="6" fillId="7" borderId="0" xfId="0" applyNumberFormat="1" applyFont="1" applyFill="1" applyBorder="1"/>
    <x:xf numFmtId="0" fontId="1" fillId="8" borderId="0" xfId="0" applyNumberFormat="1" applyFont="1" applyFill="1" applyBorder="1"/>
    <x:xf numFmtId="203" fontId="1" fillId="8" borderId="0" xfId="0" applyNumberFormat="1" applyFont="1" applyFill="1" applyBorder="1"/>
    <x:xf numFmtId="203" fontId="7" fillId="0" borderId="0" xfId="0" applyNumberFormat="1" applyFont="1" applyFill="1" applyBorder="1"/>
    <x:xf numFmtId="203" fontId="7" fillId="6" borderId="0" xfId="0" applyNumberFormat="1" applyFont="1" applyFill="1" applyBorder="1"/>
    <x:xf numFmtId="203" fontId="7" fillId="8" borderId="0" xfId="0" applyNumberFormat="1" applyFont="1" applyFill="1" applyBorder="1"/>
    <x:xf numFmtId="204" fontId="1" fillId="0" borderId="0" xfId="0" applyNumberFormat="1" applyFont="1" applyFill="1" applyBorder="1"/>
    <x:xf numFmtId="0" fontId="8" fillId="0" borderId="0" xfId="0" applyNumberFormat="1" applyFont="1" applyFill="1" applyBorder="1"/>
    <x:xf numFmtId="205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43427728448c3" /><Relationship Type="http://schemas.openxmlformats.org/officeDocument/2006/relationships/theme" Target="/xl/theme/theme1.xml" Id="Rbe3183d7831e4039" /><Relationship Type="http://schemas.openxmlformats.org/officeDocument/2006/relationships/sharedStrings" Target="/xl/sharedStrings.xml" Id="Rf13c0cbffa524200" /><Relationship Type="http://schemas.openxmlformats.org/officeDocument/2006/relationships/worksheet" Target="/xl/worksheets/sheet1.xml" Id="R7f51cd44f0ee443b" /><Relationship Type="http://schemas.openxmlformats.org/officeDocument/2006/relationships/worksheet" Target="/xl/worksheets/sheet2.xml" Id="R9ade2eb204284c44" /><Relationship Type="http://schemas.openxmlformats.org/officeDocument/2006/relationships/worksheet" Target="/xl/worksheets/sheet3.xml" Id="Redc68ea2fab043ca" /><Relationship Type="http://schemas.openxmlformats.org/officeDocument/2006/relationships/worksheet" Target="/xl/worksheets/sheet4.xml" Id="R164980ef0d4841d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cbe0c90086249f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Annual City cash after bond payments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City cash ($m)</c:v>
          </c:tx>
          <c:marker>
            <c:symbol val="none"/>
          </c:marker>
          <c:cat>
            <c:strRef>
              <c:f>'Overview'!$F$8:$F$47</c:f>
              <c:strCache>
                <c:ptCount val="0"/>
              </c:strCache>
            </c:strRef>
          </c:cat>
          <c:val>
            <c:numRef>
              <c:f>'Overview'!$G$8:$G$47</c:f>
              <c:numCache>
                <c:formatCode>$0.0;($0.0);–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&quot;m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6</xdr:row>
      <xdr:rowOff>0</xdr:rowOff>
    </xdr:from>
    <xdr:to>
      <xdr:col>15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cbe0c90086249f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ab2c75f01774e18" /></Relationships>
</file>

<file path=xl/worksheets/sheet1.xml><?xml version="1.0" encoding="utf-8"?>
<x:worksheet xmlns:x="http://schemas.openxmlformats.org/spreadsheetml/2006/main">
  <x:sheetPr>
    <x:tabColor rgb="FF17283D"/>
  </x:sheetPr>
  <x:sheetViews>
    <x:sheetView showGridLines="0" workbookViewId="0"/>
  </x:sheetViews>
  <x:sheetFormatPr defaultRowHeight="15"/>
  <x:cols>
    <x:col min="1" max="1" width="3" hidden="0" customWidth="1"/>
    <x:col min="2" max="2" width="3" hidden="0" customWidth="1"/>
    <x:col min="3" max="3" width="38" hidden="0" customWidth="1"/>
    <x:col min="4" max="4" width="19" hidden="0" customWidth="1"/>
    <x:col min="5" max="5" width="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 ht="34" customHeight="1">
      <x:c r="A2" s="1"/>
      <x:c r="B2" s="1"/>
      <x:c r="C2" s="20" t="str">
        <x:v>Runway District | cost, earnings, timing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"/>
      <x:c r="B3" s="1"/>
      <x:c r="C3" s="1" t="str">
        <x:v>City-owned homes and a compact Main Street; full construction financed with bonds.</x:v>
      </x:c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"/>
      <x:c r="B4" s="1"/>
      <x:c r="C4" s="1" t="str">
        <x:v>Aggressive four-year construction case; 95% residential occupancy. Land acquisition: $0.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/>
      <x:c r="B5" s="1"/>
      <x:c r="C5" s="1" t="str">
        <x:v>Selected plan</x:v>
      </x:c>
      <x:c r="D5" s="1" t="str">
        <x:f>'Annual model'!D4</x:f>
        <x:v>30-acre park / lower density</x:v>
      </x:c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 ht="25" customHeight="1">
      <x:c r="A7" s="1"/>
      <x:c r="B7" s="1"/>
      <x:c r="C7" s="5" t="str">
        <x:v>Construction and annual City cash</x:v>
      </x:c>
      <x:c r="D7" s="1"/>
      <x:c r="E7" s="1"/>
      <x:c r="F7" s="17" t="str">
        <x:v>Year</x:v>
      </x:c>
      <x:c r="G7" s="17" t="str">
        <x:v>City cash ($m)</x:v>
      </x:c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/>
      <x:c r="B8" s="1"/>
      <x:c r="C8" s="1" t="str">
        <x:v>All-in bond authorization incl. 15%</x:v>
      </x:c>
      <x:c r="D8" s="43" t="n">
        <x:f>'Annual model'!D23</x:f>
        <x:v>5455887500</x:v>
      </x:c>
      <x:c r="E8" s="1"/>
      <x:c r="F8" s="1" t="n">
        <x:f>'40-year outlook'!C6</x:f>
        <x:v>1</x:v>
      </x:c>
      <x:c r="G8" s="48" t="n">
        <x:f>'40-year outlook'!K6/1000000</x:f>
        <x:v>-37.04388889548517</x:v>
      </x:c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/>
      <x:c r="B9" s="1"/>
      <x:c r="C9" s="27" t="str">
        <x:v>Year 4, full buildout / annual cash</x:v>
      </x:c>
      <x:c r="D9" s="44" t="n">
        <x:f>'40-year outlook'!K9</x:f>
        <x:v>-150597865.4697612</x:v>
      </x:c>
      <x:c r="E9" s="1"/>
      <x:c r="F9" s="1" t="n">
        <x:f>'40-year outlook'!C7</x:f>
        <x:v>2</x:v>
      </x:c>
      <x:c r="G9" s="48" t="n">
        <x:f>'40-year outlook'!K7/1000000</x:f>
        <x:v>-68.07434483699944</x:v>
      </x:c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/>
      <x:c r="B10" s="1"/>
      <x:c r="C10" s="1" t="str">
        <x:v>Year 10 / annual cash</x:v>
      </x:c>
      <x:c r="D10" s="43" t="n">
        <x:f>'40-year outlook'!K15</x:f>
        <x:v>-115574632.2244645</x:v>
      </x:c>
      <x:c r="E10" s="1"/>
      <x:c r="F10" s="1" t="n">
        <x:f>'40-year outlook'!C8</x:f>
        <x:v>3</x:v>
      </x:c>
      <x:c r="G10" s="48" t="n">
        <x:f>'40-year outlook'!K8/1000000</x:f>
        <x:v>-114.33092586210986</x:v>
      </x:c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/>
      <x:c r="B11" s="1"/>
      <x:c r="C11" s="1" t="str">
        <x:v>Year 20 / annual cash</x:v>
      </x:c>
      <x:c r="D11" s="43" t="n">
        <x:f>'40-year outlook'!K25</x:f>
        <x:v>-48539567.32778531</x:v>
      </x:c>
      <x:c r="E11" s="1"/>
      <x:c r="F11" s="1" t="n">
        <x:f>'40-year outlook'!C9</x:f>
        <x:v>4</x:v>
      </x:c>
      <x:c r="G11" s="48" t="n">
        <x:f>'40-year outlook'!K9/1000000</x:f>
        <x:v>-150.5978654697612</x:v>
      </x:c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1"/>
      <x:c r="B12" s="1"/>
      <x:c r="C12" s="1" t="str">
        <x:v>Year 30 / annual cash</x:v>
      </x:c>
      <x:c r="D12" s="43" t="n">
        <x:f>'40-year outlook'!K35</x:f>
        <x:v>37270983.16565347</x:v>
      </x:c>
      <x:c r="E12" s="1"/>
      <x:c r="F12" s="1" t="n">
        <x:f>'40-year outlook'!C10</x:f>
        <x:v>5</x:v>
      </x:c>
      <x:c r="G12" s="48" t="n">
        <x:f>'40-year outlook'!K10/1000000</x:f>
        <x:v>-145.11497931871668</x:v>
      </x:c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41" t="str">
        <x:v>Year 40, after bonds / annual cash</x:v>
      </x:c>
      <x:c r="D13" s="45" t="n">
        <x:f>'40-year outlook'!K45</x:f>
        <x:v>502029054.0928279</x:v>
      </x:c>
      <x:c r="E13" s="1"/>
      <x:c r="F13" s="1" t="n">
        <x:f>'40-year outlook'!C11</x:f>
        <x:v>6</x:v>
      </x:c>
      <x:c r="G13" s="48" t="n">
        <x:f>'40-year outlook'!K11/1000000</x:f>
        <x:v>-139.49502101389606</x:v>
      </x:c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 t="n">
        <x:f>'40-year outlook'!C12</x:f>
        <x:v>7</x:v>
      </x:c>
      <x:c r="G14" s="48" t="n">
        <x:f>'40-year outlook'!K12/1000000</x:f>
        <x:v>-133.73456375145494</x:v>
      </x:c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 t="str">
        <x:v>What gets built</x:v>
      </x:c>
      <x:c r="D15" s="1"/>
      <x:c r="E15" s="1"/>
      <x:c r="F15" s="1" t="n">
        <x:f>'40-year outlook'!C13</x:f>
        <x:v>8</x:v>
      </x:c>
      <x:c r="G15" s="48" t="n">
        <x:f>'40-year outlook'!K13/1000000</x:f>
        <x:v>-127.83009505745272</x:v>
      </x:c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 ht="25" customHeight="1">
      <x:c r="A16" s="1"/>
      <x:c r="B16" s="1"/>
      <x:c r="C16" s="17" t="str">
        <x:v>Metric</x:v>
      </x:c>
      <x:c r="D16" s="17" t="str">
        <x:v>Selected plan</x:v>
      </x:c>
      <x:c r="E16" s="1"/>
      <x:c r="F16" s="1" t="n">
        <x:f>'40-year outlook'!C14</x:f>
        <x:v>9</x:v>
      </x:c>
      <x:c r="G16" s="48" t="n">
        <x:f>'40-year outlook'!K14/1000000</x:f>
        <x:v>-121.77801464610059</x:v>
      </x:c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 t="str">
        <x:v>Park acres</x:v>
      </x:c>
      <x:c r="D17" s="21" t="n">
        <x:f>Assumptions!D7</x:f>
        <x:v>30</x:v>
      </x:c>
      <x:c r="E17" s="1"/>
      <x:c r="F17" s="1" t="n">
        <x:f>'40-year outlook'!C15</x:f>
        <x:v>10</x:v>
      </x:c>
      <x:c r="G17" s="48" t="n">
        <x:f>'40-year outlook'!K15/1000000</x:f>
        <x:v>-115.57463222446451</x:v>
      </x:c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 t="str">
        <x:v>Homes at full buildout</x:v>
      </x:c>
      <x:c r="D18" s="21" t="n">
        <x:f>'Annual model'!D22</x:f>
        <x:v>9525</x:v>
      </x:c>
      <x:c r="E18" s="1"/>
      <x:c r="F18" s="1" t="n">
        <x:f>'40-year outlook'!C16</x:f>
        <x:v>11</x:v>
      </x:c>
      <x:c r="G18" s="48" t="n">
        <x:f>'40-year outlook'!K16/1000000</x:f>
        <x:v>-109.59116524228757</x:v>
      </x:c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 t="str">
        <x:v>Housing construction, excluding land</x:v>
      </x:c>
      <x:c r="D19" s="22" t="n">
        <x:f>D18*Assumptions!D21</x:f>
        <x:v>4286250000</x:v>
      </x:c>
      <x:c r="E19" s="1"/>
      <x:c r="F19" s="1" t="n">
        <x:f>'40-year outlook'!C17</x:f>
        <x:v>12</x:v>
      </x:c>
      <x:c r="G19" s="48" t="n">
        <x:f>'40-year outlook'!K17/1000000</x:f>
        <x:v>-103.45811158555618</x:v>
      </x:c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 t="str">
        <x:v>Park, shared infrastructure and solar</x:v>
      </x:c>
      <x:c r="D20" s="22" t="n">
        <x:f>Assumptions!D23+Assumptions!H6</x:f>
        <x:v>425000000</x:v>
      </x:c>
      <x:c r="E20" s="1"/>
      <x:c r="F20" s="1" t="n">
        <x:f>'40-year outlook'!C18</x:f>
        <x:v>13</x:v>
      </x:c>
      <x:c r="G20" s="48" t="n">
        <x:f>'40-year outlook'!K18/1000000</x:f>
        <x:v>-97.17173158740661</x:v>
      </x:c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 t="str">
        <x:v>Land acquisition</x:v>
      </x:c>
      <x:c r="D21" s="46" t="n">
        <x:f>Assumptions!D29</x:f>
        <x:v>0</x:v>
      </x:c>
      <x:c r="E21" s="1"/>
      <x:c r="F21" s="1" t="n">
        <x:f>'40-year outlook'!C19</x:f>
        <x:v>14</x:v>
      </x:c>
      <x:c r="G21" s="48" t="n">
        <x:f>'40-year outlook'!K19/1000000</x:f>
        <x:v>-90.72819208930322</x:v>
      </x:c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 t="n">
        <x:f>'40-year outlook'!C20</x:f>
        <x:v>15</x:v>
      </x:c>
      <x:c r="G22" s="48" t="n">
        <x:f>'40-year outlook'!K20/1000000</x:f>
        <x:v>-84.12356410374727</x:v>
      </x:c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47" t="str">
        <x:v>Rental income starts in Year 2; full delivery is the Year 4 construction goal.</x:v>
      </x:c>
      <x:c r="D23" s="1"/>
      <x:c r="E23" s="1"/>
      <x:c r="F23" s="1" t="n">
        <x:f>'40-year outlook'!C21</x:f>
        <x:v>16</x:v>
      </x:c>
      <x:c r="G23" s="48" t="n">
        <x:f>'40-year outlook'!K21/1000000</x:f>
        <x:v>-77.3538204185524</x:v>
      </x:c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47" t="str">
        <x:v>Phased 30-year bonds retire by end of Year 33 under this schedule.</x:v>
      </x:c>
      <x:c r="D24" s="1"/>
      <x:c r="E24" s="1"/>
      <x:c r="F24" s="1" t="n">
        <x:f>'40-year outlook'!C22</x:f>
        <x:v>17</x:v>
      </x:c>
      <x:c r="G24" s="48" t="n">
        <x:f>'40-year outlook'!K22/1000000</x:f>
        <x:v>-70.41483314122767</x:v>
      </x:c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 t="str">
        <x:v>First annual City surplus year</x:v>
      </x:c>
      <x:c r="D25" s="21" t="n">
        <x:f>_xlfn.MINIFS('40-year outlook'!C6:C45,'40-year outlook'!K6:K45,"&gt;0")</x:f>
        <x:v>26</x:v>
      </x:c>
      <x:c r="E25" s="1"/>
      <x:c r="F25" s="1" t="n">
        <x:f>'40-year outlook'!C23</x:f>
        <x:v>18</x:v>
      </x:c>
      <x:c r="G25" s="48" t="n">
        <x:f>'40-year outlook'!K23/1000000</x:f>
        <x:v>-63.30237118196985</x:v>
      </x:c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 t="n">
        <x:f>'40-year outlook'!C24</x:f>
        <x:v>19</x:v>
      </x:c>
      <x:c r="G26" s="48" t="n">
        <x:f>'40-year outlook'!K24/1000000</x:f>
        <x:v>-56.01209767373055</x:v>
      </x:c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 t="str">
        <x:v>Cost / home sensitivity | Year 10</x:v>
      </x:c>
      <x:c r="D27" s="1"/>
      <x:c r="E27" s="1"/>
      <x:c r="F27" s="1" t="n">
        <x:f>'40-year outlook'!C25</x:f>
        <x:v>20</x:v>
      </x:c>
      <x:c r="G27" s="48" t="n">
        <x:f>'40-year outlook'!K25/1000000</x:f>
        <x:v>-48.53956732778531</x:v>
      </x:c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 ht="25" customHeight="1">
      <x:c r="A28" s="1"/>
      <x:c r="B28" s="1"/>
      <x:c r="C28" s="17" t="str">
        <x:v>Development cost / home (no land)</x:v>
      </x:c>
      <x:c r="D28" s="17" t="str">
        <x:v>City cash / year</x:v>
      </x:c>
      <x:c r="E28" s="1"/>
      <x:c r="F28" s="1" t="n">
        <x:f>'40-year outlook'!C26</x:f>
        <x:v>21</x:v>
      </x:c>
      <x:c r="G28" s="48" t="n">
        <x:f>'40-year outlook'!K26/1000000</x:f>
        <x:v>-40.88022372319139</x:v>
      </x:c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8" t="n">
        <x:v>350000</x:v>
      </x:c>
      <x:c r="D29" s="18" t="n">
        <x:f>'Annual model'!M14+'Annual model'!M27-((('Annual model'!M8*C29+Assumptions!D11*Assumptions!D22)*(1+Assumptions!D24)+'Annual model'!M16)*Assumptions!D25/(1-(1+Assumptions!D25)^(-Assumptions!D26)))-'Annual model'!M18-'Annual model'!M28-Assumptions!D28</x:f>
        <x:v>-44318916.52340653</x:v>
      </x:c>
      <x:c r="E29" s="1"/>
      <x:c r="F29" s="1" t="n">
        <x:f>'40-year outlook'!C27</x:f>
        <x:v>22</x:v>
      </x:c>
      <x:c r="G29" s="48" t="n">
        <x:f>'40-year outlook'!K27/1000000</x:f>
        <x:v>-33.02939652848263</x:v>
      </x:c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8" t="n">
        <x:v>450000</x:v>
      </x:c>
      <x:c r="D30" s="18" t="n">
        <x:f>'Annual model'!M14+'Annual model'!M27-((('Annual model'!M8*C30+Assumptions!D11*Assumptions!D22)*(1+Assumptions!D24)+'Annual model'!M16)*Assumptions!D25/(1-(1+Assumptions!D25)^(-Assumptions!D26)))-'Annual model'!M18-'Annual model'!M28-Assumptions!D28</x:f>
        <x:v>-115574632.2244645</x:v>
      </x:c>
      <x:c r="E30" s="1"/>
      <x:c r="F30" s="1" t="n">
        <x:f>'40-year outlook'!C28</x:f>
        <x:v>23</x:v>
      </x:c>
      <x:c r="G30" s="48" t="n">
        <x:f>'40-year outlook'!K28/1000000</x:f>
        <x:v>-24.982298653906174</x:v>
      </x:c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8" t="n">
        <x:v>550000</x:v>
      </x:c>
      <x:c r="D31" s="18" t="n">
        <x:f>'Annual model'!M14+'Annual model'!M27-((('Annual model'!M8*C31+Assumptions!D11*Assumptions!D22)*(1+Assumptions!D24)+'Annual model'!M16)*Assumptions!D25/(1-(1+Assumptions!D25)^(-Assumptions!D26)))-'Annual model'!M18-'Annual model'!M28-Assumptions!D28</x:f>
        <x:v>-186830347.92552242</x:v>
      </x:c>
      <x:c r="E31" s="1"/>
      <x:c r="F31" s="1" t="n">
        <x:f>'40-year outlook'!C29</x:f>
        <x:v>24</x:v>
      </x:c>
      <x:c r="G31" s="48" t="n">
        <x:f>'40-year outlook'!K29/1000000</x:f>
        <x:v>-16.734023332465267</x:v>
      </x:c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8" t="n">
        <x:v>650000</x:v>
      </x:c>
      <x:c r="D32" s="18" t="n">
        <x:f>'Annual model'!M14+'Annual model'!M27-((('Annual model'!M8*C32+Assumptions!D11*Assumptions!D22)*(1+Assumptions!D24)+'Annual model'!M16)*Assumptions!D25/(1-(1+Assumptions!D25)^(-Assumptions!D26)))-'Annual model'!M18-'Annual model'!M28-Assumptions!D28</x:f>
        <x:v>-258086063.6265804</x:v>
      </x:c>
      <x:c r="E32" s="1"/>
      <x:c r="F32" s="1" t="n">
        <x:f>'40-year outlook'!C30</x:f>
        <x:v>25</x:v>
      </x:c>
      <x:c r="G32" s="48" t="n">
        <x:f>'40-year outlook'!K30/1000000</x:f>
        <x:v>-8.279541127988399</x:v>
      </x:c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 t="n">
        <x:f>'40-year outlook'!C31</x:f>
        <x:v>26</x:v>
      </x:c>
      <x:c r="G33" s="48" t="n">
        <x:f>'40-year outlook'!K31/1000000</x:f>
        <x:v>0.386303131600447</x:v>
      </x:c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47" t="str">
        <x:v>Base case includes $75m solar, $5m annual solar savings,</x:v>
      </x:c>
      <x:c r="D34" s="1"/>
      <x:c r="E34" s="1"/>
      <x:c r="F34" s="1" t="n">
        <x:f>'40-year outlook'!C32</x:f>
        <x:v>27</x:v>
      </x:c>
      <x:c r="G34" s="48" t="n">
        <x:f>'40-year outlook'!K32/1000000</x:f>
        <x:v>9.268793497678935</x:v>
      </x:c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47" t="str">
        <x:v>5% of gross rents reserved for replacements and $5m bonuses.</x:v>
      </x:c>
      <x:c r="D35" s="1"/>
      <x:c r="E35" s="1"/>
      <x:c r="F35" s="1" t="n">
        <x:f>'40-year outlook'!C33</x:f>
        <x:v>28</x:v>
      </x:c>
      <x:c r="G35" s="48" t="n">
        <x:f>'40-year outlook'!K33/1000000</x:f>
        <x:v>18.373346122909446</x:v>
      </x:c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47" t="str">
        <x:v>Concrete reuse and signature tower need bids; no savings assumed.</x:v>
      </x:c>
      <x:c r="D36" s="1"/>
      <x:c r="E36" s="1"/>
      <x:c r="F36" s="1" t="n">
        <x:f>'40-year outlook'!C34</x:f>
        <x:v>29</x:v>
      </x:c>
      <x:c r="G36" s="48" t="n">
        <x:f>'40-year outlook'!K34/1000000</x:f>
        <x:v>27.70551256377069</x:v>
      </x:c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 t="n">
        <x:f>'40-year outlook'!C35</x:f>
        <x:v>30</x:v>
      </x:c>
      <x:c r="G37" s="48" t="n">
        <x:f>'40-year outlook'!K35/1000000</x:f>
        <x:v>37.27098316565347</x:v>
      </x:c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 t="n">
        <x:f>'40-year outlook'!C36</x:f>
        <x:v>31</x:v>
      </x:c>
      <x:c r="G38" s="48" t="n">
        <x:f>'40-year outlook'!K36/1000000</x:f>
        <x:v>78.86947942806854</x:v>
      </x:c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 t="str">
        <x:v>Housing scale | current 2021–29 allocation</x:v>
      </x:c>
      <x:c r="D39" s="1"/>
      <x:c r="E39" s="1"/>
      <x:c r="F39" s="1" t="n">
        <x:f>'40-year outlook'!C37</x:f>
        <x:v>32</x:v>
      </x:c>
      <x:c r="G39" s="48" t="n">
        <x:f>'40-year outlook'!K37/1000000</x:f>
        <x:v>169.69905763318596</x:v>
      </x:c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 t="str">
        <x:v>Santa Monica total allocation</x:v>
      </x:c>
      <x:c r="D40" s="21" t="n">
        <x:v>8895</x:v>
      </x:c>
      <x:c r="E40" s="1"/>
      <x:c r="F40" s="1" t="n">
        <x:f>'40-year outlook'!C38</x:f>
        <x:v>33</x:v>
      </x:c>
      <x:c r="G40" s="48" t="n">
        <x:f>'40-year outlook'!K38/1000000</x:f>
        <x:v>309.2477922944895</x:v>
      </x:c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 t="str">
        <x:v>Modeled district homes</x:v>
      </x:c>
      <x:c r="D41" s="21" t="n">
        <x:f>'Annual model'!D22</x:f>
        <x:v>9525</x:v>
      </x:c>
      <x:c r="E41" s="1"/>
      <x:c r="F41" s="1" t="n">
        <x:f>'40-year outlook'!C39</x:f>
        <x:v>34</x:v>
      </x:c>
      <x:c r="G41" s="48" t="n">
        <x:f>'40-year outlook'!K39/1000000</x:f>
        <x:v>432.8980799653622</x:v>
      </x:c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 t="str">
        <x:v>Current very-low, low, moderate allocation</x:v>
      </x:c>
      <x:c r="D42" s="21" t="n">
        <x:v>6168</x:v>
      </x:c>
      <x:c r="E42" s="1"/>
      <x:c r="F42" s="1" t="n">
        <x:f>'40-year outlook'!C40</x:f>
        <x:v>35</x:v>
      </x:c>
      <x:c r="G42" s="48" t="n">
        <x:f>'40-year outlook'!K40/1000000</x:f>
        <x:v>443.7205319644963</x:v>
      </x:c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 t="str">
        <x:v>Modeled discounted-rent homes</x:v>
      </x:c>
      <x:c r="D43" s="21" t="n">
        <x:f>'Annual model'!D22*Assumptions!D13</x:f>
        <x:v>1905</x:v>
      </x:c>
      <x:c r="E43" s="1"/>
      <x:c r="F43" s="1" t="n">
        <x:f>'40-year outlook'!C41</x:f>
        <x:v>36</x:v>
      </x:c>
      <x:c r="G43" s="48" t="n">
        <x:f>'40-year outlook'!K41/1000000</x:f>
        <x:v>454.81354526360866</x:v>
      </x:c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 t="n">
        <x:f>'40-year outlook'!C42</x:f>
        <x:v>37</x:v>
      </x:c>
      <x:c r="G44" s="48" t="n">
        <x:f>'40-year outlook'!K42/1000000</x:f>
        <x:v>466.1838838951988</x:v>
      </x:c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47" t="str">
        <x:v>Housing count does not establish 30-year RHNA compliance.</x:v>
      </x:c>
      <x:c r="D45" s="1"/>
      <x:c r="E45" s="1"/>
      <x:c r="F45" s="1" t="n">
        <x:f>'40-year outlook'!C43</x:f>
        <x:v>38</x:v>
      </x:c>
      <x:c r="G45" s="48" t="n">
        <x:f>'40-year outlook'!K43/1000000</x:f>
        <x:v>477.83848099257875</x:v>
      </x:c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47" t="str">
        <x:v>Future allocations, income levels, and delivery timing govern credit.</x:v>
      </x:c>
      <x:c r="D46" s="1"/>
      <x:c r="E46" s="1"/>
      <x:c r="F46" s="1" t="n">
        <x:f>'40-year outlook'!C44</x:f>
        <x:v>39</x:v>
      </x:c>
      <x:c r="G46" s="48" t="n">
        <x:f>'40-year outlook'!K44/1000000</x:f>
        <x:v>489.78444301739324</x:v>
      </x:c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 t="n">
        <x:f>'40-year outlook'!C45</x:f>
        <x:v>40</x:v>
      </x:c>
      <x:c r="G47" s="48" t="n">
        <x:f>'40-year outlook'!K45/1000000</x:f>
        <x:v>502.0290540928279</x:v>
      </x:c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</x:sheetData>
  <x:pageMargins left="0.7" right="0.7" top="0.75" bottom="0.75" header="0.3" footer="0.3"/>
  <x:drawing xmlns:r="http://schemas.openxmlformats.org/officeDocument/2006/relationships" r:id="R8ab2c75f01774e18"/>
</x:worksheet>
</file>

<file path=xl/worksheets/sheet2.xml><?xml version="1.0" encoding="utf-8"?>
<x:worksheet xmlns:x="http://schemas.openxmlformats.org/spreadsheetml/2006/main">
  <x:sheetPr>
    <x:tabColor rgb="FF235E8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39" hidden="0" customWidth="1"/>
    <x:col min="4" max="4" width="57" hidden="0" customWidth="1"/>
    <x:col min="5" max="5" width="76" hidden="0" customWidth="1"/>
    <x:col min="7" max="7" width="49" hidden="0" customWidth="1"/>
    <x:col min="8" max="8" width="1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 ht="34" customHeight="1">
      <x:c r="A2" s="1"/>
      <x:c r="B2" s="1"/>
      <x:c r="C2" s="3" t="str">
        <x:v>Runway District | model inputs</x:v>
      </x:c>
      <x:c r="D2" s="2"/>
      <x:c r="E2" s="2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"/>
      <x:c r="B3" s="1"/>
      <x:c r="C3" s="1" t="str">
        <x:v>Blue figures are editable. Plan 1 is the 30-acre park; Plan 2 is the 12-acre park.</x:v>
      </x:c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 ht="25" customHeight="1">
      <x:c r="A5" s="1"/>
      <x:c r="B5" s="1"/>
      <x:c r="C5" s="5" t="str">
        <x:v>Plan and site</x:v>
      </x:c>
      <x:c r="D5" s="1"/>
      <x:c r="E5" s="1"/>
      <x:c r="F5" s="1"/>
      <x:c r="G5" s="17" t="str">
        <x:v>Additional program allowances</x:v>
      </x:c>
      <x:c r="H5" s="17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/>
      <x:c r="B6" s="1"/>
      <x:c r="C6" s="7" t="str">
        <x:v>Selected plan (1 or 2)</x:v>
      </x:c>
      <x:c r="D6" s="8" t="n">
        <x:v>1</x:v>
      </x:c>
      <x:c r="E6" s="7" t="str">
        <x:v>User choice; 1 = 30-acre park and 2 = 12-acre park</x:v>
      </x:c>
      <x:c r="F6" s="1"/>
      <x:c r="G6" s="1" t="str">
        <x:v>District-wide solar construction</x:v>
      </x:c>
      <x:c r="H6" s="18" t="n">
        <x:v>75000000</x:v>
      </x:c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/>
      <x:c r="B7" s="1"/>
      <x:c r="C7" s="1" t="str">
        <x:v>Park acres</x:v>
      </x:c>
      <x:c r="D7" s="6" t="n">
        <x:f>IF(D6=1,30,12)</x:f>
        <x:v>30</x:v>
      </x:c>
      <x:c r="E7" s="1" t="str">
        <x:v>Plan choice: 30 acres / 12 acres</x:v>
      </x:c>
      <x:c r="F7" s="1"/>
      <x:c r="G7" s="1" t="str">
        <x:v>Annual solar savings at full buildout</x:v>
      </x:c>
      <x:c r="H7" s="18" t="n">
        <x:v>5000000</x:v>
      </x:c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/>
      <x:c r="B8" s="1"/>
      <x:c r="C8" s="7" t="str">
        <x:v>Homes per residential acre</x:v>
      </x:c>
      <x:c r="D8" s="8" t="n">
        <x:f>IF(D6=1,75,100)</x:f>
        <x:v>75</x:v>
      </x:c>
      <x:c r="E8" s="7" t="str">
        <x:v>Illustrative density: 75 / 100 homes per net acre</x:v>
      </x:c>
      <x:c r="F8" s="1"/>
      <x:c r="G8" s="1" t="str">
        <x:v>Major replacement reserve / gross rent</x:v>
      </x:c>
      <x:c r="H8" s="19" t="n">
        <x:v>0.05</x:v>
      </x:c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/>
      <x:c r="B9" s="1"/>
      <x:c r="C9" s="1" t="str">
        <x:v>Airport site acres</x:v>
      </x:c>
      <x:c r="D9" s="13" t="n">
        <x:v>192</x:v>
      </x:c>
      <x:c r="E9" s="1" t="str">
        <x:v>City 2026 parks plan: 192-acre airport study area</x:v>
      </x:c>
      <x:c r="F9" s="1"/>
      <x:c r="G9" s="1" t="str">
        <x:v>Annual park-cost escalation</x:v>
      </x:c>
      <x:c r="H9" s="19" t="n">
        <x:v>0.025</x:v>
      </x:c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/>
      <x:c r="B10" s="1"/>
      <x:c r="C10" s="7" t="str">
        <x:v>Other streets and civic acres</x:v>
      </x:c>
      <x:c r="D10" s="14" t="n">
        <x:v>35</x:v>
      </x:c>
      <x:c r="E10" s="7" t="str">
        <x:v>Planning allowance for access and nonresidential public use; editable</x:v>
      </x:c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/>
      <x:c r="B11" s="1"/>
      <x:c r="C11" s="1" t="str">
        <x:v>Retail square feet</x:v>
      </x:c>
      <x:c r="D11" s="13" t="n">
        <x:v>60000</x:v>
      </x:c>
      <x:c r="E11" s="1" t="str">
        <x:v>A compact neighborhood Main Street, not a regional mall</x:v>
      </x:c>
      <x:c r="F11" s="1"/>
      <x:c r="G11" s="1" t="str">
        <x:v>Solar costs/savings are planning allowances pending bids.</x:v>
      </x:c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1"/>
      <x:c r="B12" s="1"/>
      <x:c r="C12" s="7" t="str">
        <x:v>Starting market rent per home / month</x:v>
      </x:c>
      <x:c r="D12" s="12" t="n">
        <x:v>3400</x:v>
      </x:c>
      <x:c r="E12" s="7" t="str">
        <x:v>Illustrative; HUD FY2026 2BR FMR: 90404 $2,980, 90405 $3,180</x:v>
      </x:c>
      <x:c r="F12" s="1"/>
      <x:c r="G12" s="1" t="str">
        <x:v>Concrete reuse credit is $0 until pavement quantities are tested.</x:v>
      </x:c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 t="str">
        <x:v>Affordable share of homes</x:v>
      </x:c>
      <x:c r="D13" s="9" t="n">
        <x:v>0.2</x:v>
      </x:c>
      <x:c r="E13" s="1" t="str">
        <x:v>Illustrative mix; policy and rents to be defined by voters and plan</x:v>
      </x:c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7" t="str">
        <x:v>Affordable rent as % of market</x:v>
      </x:c>
      <x:c r="D14" s="10" t="n">
        <x:v>0.55</x:v>
      </x:c>
      <x:c r="E14" s="7" t="str">
        <x:v>Illustrative blended-rent reduction</x:v>
      </x:c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 t="str">
        <x:v>Occupied share of completed homes</x:v>
      </x:c>
      <x:c r="D15" s="9" t="n">
        <x:v>0.95</x:v>
      </x:c>
      <x:c r="E15" s="1" t="str">
        <x:v>Illustrative stabilized occupancy</x:v>
      </x:c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7" t="str">
        <x:v>Residential operating cost / revenue</x:v>
      </x:c>
      <x:c r="D16" s="10" t="n">
        <x:v>0.35</x:v>
      </x:c>
      <x:c r="E16" s="7" t="str">
        <x:v>Illustrative property operating and maintenance cost</x:v>
      </x:c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 t="str">
        <x:v>Retail rent per square foot / year</x:v>
      </x:c>
      <x:c r="D17" s="11" t="n">
        <x:v>55</x:v>
      </x:c>
      <x:c r="E17" s="1" t="str">
        <x:v>Illustrative small Main Street storefront rent</x:v>
      </x:c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7" t="str">
        <x:v>Retail occupied share</x:v>
      </x:c>
      <x:c r="D18" s="10" t="n">
        <x:v>0.9</x:v>
      </x:c>
      <x:c r="E18" s="7" t="str">
        <x:v>Illustrative stabilized occupancy</x:v>
      </x:c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 t="str">
        <x:v>Retail operating cost / revenue</x:v>
      </x:c>
      <x:c r="D19" s="9" t="n">
        <x:v>0.3</x:v>
      </x:c>
      <x:c r="E19" s="1" t="str">
        <x:v>Illustrative operations and maintenance cost</x:v>
      </x:c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7" t="str">
        <x:v>Annual rent growth</x:v>
      </x:c>
      <x:c r="D20" s="10" t="n">
        <x:v>0.025</x:v>
      </x:c>
      <x:c r="E20" s="7" t="str">
        <x:v>Illustrative nominal escalation</x:v>
      </x:c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 t="str">
        <x:v>Housing development cost / home, no land</x:v>
      </x:c>
      <x:c r="D21" s="11" t="n">
        <x:v>450000</x:v>
      </x:c>
      <x:c r="E21" s="1" t="str">
        <x:v>Scale-build planning case. RAND LA market-rate average ~$350k/unit incl. land in 2019 dollars; current bids required</x:v>
      </x:c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7" t="str">
        <x:v>Retail development cost per square foot</x:v>
      </x:c>
      <x:c r="D22" s="12" t="n">
        <x:v>550</x:v>
      </x:c>
      <x:c r="E22" s="7" t="str">
        <x:v>Illustrative total building cost; requires quantity survey</x:v>
      </x:c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 t="str">
        <x:v>Park and shared infrastructure capital</x:v>
      </x:c>
      <x:c r="D23" s="11" t="n">
        <x:v>350000000</x:v>
      </x:c>
      <x:c r="E23" s="1" t="str">
        <x:v>Illustrative site and park cost; requires engineering estimate</x:v>
      </x:c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7" t="str">
        <x:v>Construction contingency</x:v>
      </x:c>
      <x:c r="D24" s="10" t="n">
        <x:v>0.15</x:v>
      </x:c>
      <x:c r="E24" s="7" t="str">
        <x:v>User proposal; model assumes full reserve is borrowed</x:v>
      </x:c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 t="str">
        <x:v>Bond interest rate</x:v>
      </x:c>
      <x:c r="D25" s="9" t="n">
        <x:v>0.05</x:v>
      </x:c>
      <x:c r="E25" s="1" t="str">
        <x:v>Illustrative fixed rate, not a market quote</x:v>
      </x:c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7" t="str">
        <x:v>Amortization years</x:v>
      </x:c>
      <x:c r="D26" s="8" t="n">
        <x:v>30</x:v>
      </x:c>
      <x:c r="E26" s="7" t="str">
        <x:v>Illustrative level annual repayment after each phase</x:v>
      </x:c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 t="str">
        <x:v>Annual park and civic operating cost</x:v>
      </x:c>
      <x:c r="D27" s="11" t="n">
        <x:v>15000000</x:v>
      </x:c>
      <x:c r="E27" s="1" t="str">
        <x:v>Illustrative at full buildout</x:v>
      </x:c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7" t="str">
        <x:v>Developer performance bonus / full year</x:v>
      </x:c>
      <x:c r="D28" s="12" t="n">
        <x:v>5000000</x:v>
      </x:c>
      <x:c r="E28" s="7" t="str">
        <x:v>Planning allowance paid as completed phases open; subject to contract</x:v>
      </x:c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 t="str">
        <x:v>Land acquisition cost</x:v>
      </x:c>
      <x:c r="D29" s="11" t="n">
        <x:v>0</x:v>
      </x:c>
      <x:c r="E29" s="1" t="str">
        <x:v>The City already owns the airport site; no purchase cost is modeled</x:v>
      </x:c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 ht="25" customHeight="1">
      <x:c r="A31" s="1"/>
      <x:c r="B31" s="1"/>
      <x:c r="C31" s="5" t="str">
        <x:v>Phased operating buildout</x:v>
      </x:c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 ht="25" customHeight="1">
      <x:c r="A32" s="1"/>
      <x:c r="B32" s="1"/>
      <x:c r="C32" s="17" t="str">
        <x:v>Year</x:v>
      </x:c>
      <x:c r="D32" s="17" t="str">
        <x:v>Operating fraction</x:v>
      </x:c>
      <x:c r="E32" s="17" t="str">
        <x:v>Share of homes and shops open; public infrastructure funded from Year 1</x:v>
      </x:c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 t="n">
        <x:v>1</x:v>
      </x:c>
      <x:c r="D33" s="9" t="n">
        <x:v>0</x:v>
      </x:c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 t="n">
        <x:v>2</x:v>
      </x:c>
      <x:c r="D34" s="9" t="n">
        <x:v>0.25</x:v>
      </x:c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 t="n">
        <x:v>3</x:v>
      </x:c>
      <x:c r="D35" s="9" t="n">
        <x:v>0.65</x:v>
      </x:c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 t="n">
        <x:v>4</x:v>
      </x:c>
      <x:c r="D36" s="9" t="n">
        <x:v>1</x:v>
      </x:c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 t="n">
        <x:v>5</x:v>
      </x:c>
      <x:c r="D37" s="9" t="n">
        <x:v>1</x:v>
      </x:c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 t="n">
        <x:v>6</x:v>
      </x:c>
      <x:c r="D38" s="9" t="n">
        <x:v>1</x:v>
      </x:c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 t="n">
        <x:v>7</x:v>
      </x:c>
      <x:c r="D39" s="9" t="n">
        <x:v>1</x:v>
      </x:c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 t="n">
        <x:v>8</x:v>
      </x:c>
      <x:c r="D40" s="9" t="n">
        <x:v>1</x:v>
      </x:c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 t="n">
        <x:v>9</x:v>
      </x:c>
      <x:c r="D41" s="9" t="n">
        <x:v>1</x:v>
      </x:c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 t="n">
        <x:v>10</x:v>
      </x:c>
      <x:c r="D42" s="9" t="n">
        <x:v>1</x:v>
      </x:c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 ht="25" customHeight="1">
      <x:c r="A45" s="1"/>
      <x:c r="B45" s="1"/>
      <x:c r="C45" s="5" t="str">
        <x:v>Published references</x:v>
      </x:c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 t="str">
        <x:v>Site acreage</x:v>
      </x:c>
      <x:c r="D46" s="1" t="str">
        <x:v>Santa Monica Parks and Recreation Vision Plan, adopted January 2026</x:v>
      </x:c>
      <x:c r="E46" s="1" t="str">
        <x:v>https://www.santamonica.gov/media/Document%20Library/Project/Parks%20and%20Recreation%20Vision%20Plan/2025%20City%20of%20Santa%20Monica%20Parks%20and%20Recreation%20Vision%20Plan_Adopted%20January%2027%202026-.pdf</x:v>
      </x:c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 t="str">
        <x:v>Rent context</x:v>
      </x:c>
      <x:c r="D47" s="1" t="str">
        <x:v>HUD FY2026 Small Area Fair Market Rent, ZIP 90404 and 90405</x:v>
      </x:c>
      <x:c r="E47" s="1" t="str">
        <x:v>https://www.huduser.gov/portal/datasets/fmr/fmr2026/FY2026_Small_Area_FMR_Schedule.pdf</x:v>
      </x:c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 t="str">
        <x:v>Cost context</x:v>
      </x:c>
      <x:c r="D48" s="1" t="str">
        <x:v>RAND, The High Cost of Producing Multifamily Housing in California, 2025</x:v>
      </x:c>
      <x:c r="E48" s="1" t="str">
        <x:v>https://www.rand.org/content/dam/rand/pubs/research_reports/RRA3700/RRA3743-1/RAND_RRA3743-1.pdf</x:v>
      </x:c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 t="str">
        <x:v>Land-use vote</x:v>
      </x:c>
      <x:c r="D49" s="1" t="str">
        <x:v>Santa Monica Measure LC and Charter Section 640</x:v>
      </x:c>
      <x:c r="E49" s="1" t="str">
        <x:v>https://www.santamonica.gov/media/Document%20Library/Project/Future%20of%20Santa%20Monica%20Airport%20Project/Measure%20LC.pdf</x:v>
      </x:c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 t="str">
        <x:v>Budget scale</x:v>
      </x:c>
      <x:c r="D50" s="1" t="str">
        <x:v>Santa Monica FY2025-27 adopted biennial budget; FY2025-26 General Fund $473.5m</x:v>
      </x:c>
      <x:c r="E50" s="1" t="str">
        <x:v>https://www.santamonica.gov/media/Finance/Budgets%20%26%20Reports/FY%202025-27%20Adopted%20Biennial%20Budget..pdf</x:v>
      </x:c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 t="str">
        <x:v>Housing allocation</x:v>
      </x:c>
      <x:c r="D51" s="1" t="str">
        <x:v>Santa Monica 2021-29 sites inventory: 8,895 homes, 6,168 across very-low, low, moderate categories</x:v>
      </x:c>
      <x:c r="E51" s="1" t="str">
        <x:v>https://www.santamonica.gov/media/Document%20Library/Project/6th%20Cycle%20Housing%20Element%20%282021-2029%29/Appendix%20F%20SSI%20Report%20CLEAN%20Sept%202022.pdf</x:v>
      </x:c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 t="str">
        <x:v>Existing airport-site revenue is excluded. The output measures only the modeled new district.</x:v>
      </x:c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 t="str">
        <x:v>Four-year construction is an aggressive planning schedule, conditional on approvals and utility capacity.</x:v>
      </x:c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</x:sheetData>
  <x:dataValidations count="1">
    <x:dataValidation type="list" sqref="D6">
      <x:formula1>"1,2"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38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 ht="34" customHeight="1">
      <x:c r="A2" s="1"/>
      <x:c r="B2" s="1"/>
      <x:c r="C2" s="20" t="str">
        <x:v>Runway District | annual cash model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"/>
      <x:c r="B3" s="1"/>
      <x:c r="C3" s="1" t="str">
        <x:v>City-owned construction funded by bonds; dollars in nominal terms.</x:v>
      </x:c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"/>
      <x:c r="B4" s="1"/>
      <x:c r="C4" s="1" t="str">
        <x:v>Selected plan</x:v>
      </x:c>
      <x:c r="D4" s="1" t="str">
        <x:f>IF(Assumptions!D6=1,"30-acre park / lower density","12-acre park / higher density")</x:f>
        <x:v>30-acre park / lower density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 ht="25" customHeight="1">
      <x:c r="A5" s="1"/>
      <x:c r="B5" s="1"/>
      <x:c r="C5" s="5" t="str">
        <x:v>Operating years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/>
      <x:c r="B6" s="1"/>
      <x:c r="C6" s="1" t="str">
        <x:v>Year</x:v>
      </x:c>
      <x:c r="D6" s="16" t="n">
        <x:v>1</x:v>
      </x:c>
      <x:c r="E6" s="16" t="n">
        <x:v>2</x:v>
      </x:c>
      <x:c r="F6" s="16" t="n">
        <x:v>3</x:v>
      </x:c>
      <x:c r="G6" s="16" t="n">
        <x:v>4</x:v>
      </x:c>
      <x:c r="H6" s="16" t="n">
        <x:v>5</x:v>
      </x:c>
      <x:c r="I6" s="16" t="n">
        <x:v>6</x:v>
      </x:c>
      <x:c r="J6" s="16" t="n">
        <x:v>7</x:v>
      </x:c>
      <x:c r="K6" s="16" t="n">
        <x:v>8</x:v>
      </x:c>
      <x:c r="L6" s="16" t="n">
        <x:v>9</x:v>
      </x:c>
      <x:c r="M6" s="16" t="n">
        <x:v>10</x:v>
      </x:c>
      <x:c r="N6" s="1"/>
      <x:c r="O6" s="1"/>
      <x:c r="P6" s="1"/>
      <x:c r="Q6" s="1"/>
      <x:c r="R6" s="1"/>
    </x:row>
    <x:row r="7">
      <x:c r="A7" s="1"/>
      <x:c r="B7" s="1"/>
      <x:c r="C7" s="1" t="str">
        <x:v>Share open and operating</x:v>
      </x:c>
      <x:c r="D7" s="19" t="n">
        <x:f>Assumptions!D33</x:f>
        <x:v>0</x:v>
      </x:c>
      <x:c r="E7" s="19" t="n">
        <x:f>Assumptions!D34</x:f>
        <x:v>0.25</x:v>
      </x:c>
      <x:c r="F7" s="19" t="n">
        <x:f>Assumptions!D35</x:f>
        <x:v>0.65</x:v>
      </x:c>
      <x:c r="G7" s="19" t="n">
        <x:f>Assumptions!D36</x:f>
        <x:v>1</x:v>
      </x:c>
      <x:c r="H7" s="19" t="n">
        <x:f>Assumptions!D37</x:f>
        <x:v>1</x:v>
      </x:c>
      <x:c r="I7" s="19" t="n">
        <x:f>Assumptions!D38</x:f>
        <x:v>1</x:v>
      </x:c>
      <x:c r="J7" s="19" t="n">
        <x:f>Assumptions!D39</x:f>
        <x:v>1</x:v>
      </x:c>
      <x:c r="K7" s="19" t="n">
        <x:f>Assumptions!D40</x:f>
        <x:v>1</x:v>
      </x:c>
      <x:c r="L7" s="19" t="n">
        <x:f>Assumptions!D41</x:f>
        <x:v>1</x:v>
      </x:c>
      <x:c r="M7" s="19" t="n">
        <x:f>Assumptions!D42</x:f>
        <x:v>1</x:v>
      </x:c>
      <x:c r="N7" s="1"/>
      <x:c r="O7" s="1"/>
      <x:c r="P7" s="1"/>
      <x:c r="Q7" s="1"/>
      <x:c r="R7" s="1"/>
    </x:row>
    <x:row r="8">
      <x:c r="A8" s="1"/>
      <x:c r="B8" s="1"/>
      <x:c r="C8" s="1" t="str">
        <x:v>Operating homes</x:v>
      </x:c>
      <x:c r="D8" s="21" t="n">
        <x:f>$D$22*D7</x:f>
        <x:v>0</x:v>
      </x:c>
      <x:c r="E8" s="21" t="n">
        <x:f>$D$22*E7</x:f>
        <x:v>2381.25</x:v>
      </x:c>
      <x:c r="F8" s="21" t="n">
        <x:f>$D$22*F7</x:f>
        <x:v>6191.25</x:v>
      </x:c>
      <x:c r="G8" s="21" t="n">
        <x:f>$D$22*G7</x:f>
        <x:v>9525</x:v>
      </x:c>
      <x:c r="H8" s="21" t="n">
        <x:f>$D$22*H7</x:f>
        <x:v>9525</x:v>
      </x:c>
      <x:c r="I8" s="21" t="n">
        <x:f>$D$22*I7</x:f>
        <x:v>9525</x:v>
      </x:c>
      <x:c r="J8" s="21" t="n">
        <x:f>$D$22*J7</x:f>
        <x:v>9525</x:v>
      </x:c>
      <x:c r="K8" s="21" t="n">
        <x:f>$D$22*K7</x:f>
        <x:v>9525</x:v>
      </x:c>
      <x:c r="L8" s="21" t="n">
        <x:f>$D$22*L7</x:f>
        <x:v>9525</x:v>
      </x:c>
      <x:c r="M8" s="21" t="n">
        <x:f>$D$22*M7</x:f>
        <x:v>9525</x:v>
      </x:c>
      <x:c r="N8" s="1"/>
      <x:c r="O8" s="1"/>
      <x:c r="P8" s="1"/>
      <x:c r="Q8" s="1"/>
      <x:c r="R8" s="1"/>
    </x:row>
    <x:row r="9">
      <x:c r="A9" s="1"/>
      <x:c r="B9" s="1"/>
      <x:c r="C9" s="1" t="str">
        <x:v>Market rent / home / month</x:v>
      </x:c>
      <x:c r="D9" s="18" t="n">
        <x:f>Assumptions!D12*(1+Assumptions!D20)^(D6-1)</x:f>
        <x:v>3400</x:v>
      </x:c>
      <x:c r="E9" s="18" t="n">
        <x:f>Assumptions!D12*(1+Assumptions!D20)^(E6-1)</x:f>
        <x:v>3484.9999999999995</x:v>
      </x:c>
      <x:c r="F9" s="18" t="n">
        <x:f>Assumptions!D12*(1+Assumptions!D20)^(F6-1)</x:f>
        <x:v>3572.1249999999995</x:v>
      </x:c>
      <x:c r="G9" s="18" t="n">
        <x:f>Assumptions!D12*(1+Assumptions!D20)^(G6-1)</x:f>
        <x:v>3661.428124999999</x:v>
      </x:c>
      <x:c r="H9" s="18" t="n">
        <x:f>Assumptions!D12*(1+Assumptions!D20)^(H6-1)</x:f>
        <x:v>3752.9638281249986</x:v>
      </x:c>
      <x:c r="I9" s="18" t="n">
        <x:f>Assumptions!D12*(1+Assumptions!D20)^(I6-1)</x:f>
        <x:v>3846.787923828123</x:v>
      </x:c>
      <x:c r="J9" s="18" t="n">
        <x:f>Assumptions!D12*(1+Assumptions!D20)^(J6-1)</x:f>
        <x:v>3942.957621923826</x:v>
      </x:c>
      <x:c r="K9" s="18" t="n">
        <x:f>Assumptions!D12*(1+Assumptions!D20)^(K6-1)</x:f>
        <x:v>4041.531562471922</x:v>
      </x:c>
      <x:c r="L9" s="18" t="n">
        <x:f>Assumptions!D12*(1+Assumptions!D20)^(L6-1)</x:f>
        <x:v>4142.569851533719</x:v>
      </x:c>
      <x:c r="M9" s="18" t="n">
        <x:f>Assumptions!D12*(1+Assumptions!D20)^(M6-1)</x:f>
        <x:v>4246.134097822061</x:v>
      </x:c>
      <x:c r="N9" s="1"/>
      <x:c r="O9" s="1"/>
      <x:c r="P9" s="1"/>
      <x:c r="Q9" s="1"/>
      <x:c r="R9" s="1"/>
    </x:row>
    <x:row r="10">
      <x:c r="A10" s="1"/>
      <x:c r="B10" s="1"/>
      <x:c r="C10" s="1" t="str">
        <x:v>Blended rent / home / month</x:v>
      </x:c>
      <x:c r="D10" s="18" t="n">
        <x:f>D9*(1-Assumptions!D13+Assumptions!D13*Assumptions!D14)</x:f>
        <x:v>3094</x:v>
      </x:c>
      <x:c r="E10" s="18" t="n">
        <x:f>E9*(1-Assumptions!D13+Assumptions!D13*Assumptions!D14)</x:f>
        <x:v>3171.35</x:v>
      </x:c>
      <x:c r="F10" s="18" t="n">
        <x:f>F9*(1-Assumptions!D13+Assumptions!D13*Assumptions!D14)</x:f>
        <x:v>3250.6337499999995</x:v>
      </x:c>
      <x:c r="G10" s="18" t="n">
        <x:f>G9*(1-Assumptions!D13+Assumptions!D13*Assumptions!D14)</x:f>
        <x:v>3331.899593749999</x:v>
      </x:c>
      <x:c r="H10" s="18" t="n">
        <x:f>H9*(1-Assumptions!D13+Assumptions!D13*Assumptions!D14)</x:f>
        <x:v>3415.1970835937486</x:v>
      </x:c>
      <x:c r="I10" s="18" t="n">
        <x:f>I9*(1-Assumptions!D13+Assumptions!D13*Assumptions!D14)</x:f>
        <x:v>3500.577010683592</x:v>
      </x:c>
      <x:c r="J10" s="18" t="n">
        <x:f>J9*(1-Assumptions!D13+Assumptions!D13*Assumptions!D14)</x:f>
        <x:v>3588.091435950682</x:v>
      </x:c>
      <x:c r="K10" s="18" t="n">
        <x:f>K9*(1-Assumptions!D13+Assumptions!D13*Assumptions!D14)</x:f>
        <x:v>3677.793721849449</x:v>
      </x:c>
      <x:c r="L10" s="18" t="n">
        <x:f>L9*(1-Assumptions!D13+Assumptions!D13*Assumptions!D14)</x:f>
        <x:v>3769.7385648956842</x:v>
      </x:c>
      <x:c r="M10" s="18" t="n">
        <x:f>M9*(1-Assumptions!D13+Assumptions!D13*Assumptions!D14)</x:f>
        <x:v>3863.982029018076</x:v>
      </x:c>
      <x:c r="N10" s="1"/>
      <x:c r="O10" s="1"/>
      <x:c r="P10" s="1"/>
      <x:c r="Q10" s="1"/>
      <x:c r="R10" s="1"/>
    </x:row>
    <x:row r="11">
      <x:c r="A11" s="1"/>
      <x:c r="B11" s="1"/>
      <x:c r="C11" s="1" t="str">
        <x:v>Residential gross rent</x:v>
      </x:c>
      <x:c r="D11" s="22" t="n">
        <x:f>D8*D10*12*Assumptions!D15</x:f>
        <x:v>0</x:v>
      </x:c>
      <x:c r="E11" s="22" t="n">
        <x:f>E8*E10*12*Assumptions!D15</x:f>
        <x:v>86090259.9375</x:v>
      </x:c>
      <x:c r="F11" s="22" t="n">
        <x:f>F8*F10*12*Assumptions!D15</x:f>
        <x:v>229430542.73343748</x:v>
      </x:c>
      <x:c r="G11" s="22" t="n">
        <x:f>G8*G10*12*Assumptions!D15</x:f>
        <x:v>361794317.38734365</x:v>
      </x:c>
      <x:c r="H11" s="22" t="n">
        <x:f>H8*H10*12*Assumptions!D15</x:f>
        <x:v>370839175.3220272</x:v>
      </x:c>
      <x:c r="I11" s="22" t="n">
        <x:f>I8*I10*12*Assumptions!D15</x:f>
        <x:v>380110154.7050778</x:v>
      </x:c>
      <x:c r="J11" s="22" t="n">
        <x:f>J8*J10*12*Assumptions!D15</x:f>
        <x:v>389612908.57270473</x:v>
      </x:c>
      <x:c r="K11" s="22" t="n">
        <x:f>K8*K10*12*Assumptions!D15</x:f>
        <x:v>399353231.2870224</x:v>
      </x:c>
      <x:c r="L11" s="22" t="n">
        <x:f>L8*L10*12*Assumptions!D15</x:f>
        <x:v>409337062.06919783</x:v>
      </x:c>
      <x:c r="M11" s="22" t="n">
        <x:f>M8*M10*12*Assumptions!D15</x:f>
        <x:v>419570488.62092775</x:v>
      </x:c>
      <x:c r="N11" s="1"/>
      <x:c r="O11" s="1"/>
      <x:c r="P11" s="1"/>
      <x:c r="Q11" s="1"/>
      <x:c r="R11" s="1"/>
    </x:row>
    <x:row r="12">
      <x:c r="A12" s="1"/>
      <x:c r="B12" s="1"/>
      <x:c r="C12" s="1" t="str">
        <x:v>Residential property income</x:v>
      </x:c>
      <x:c r="D12" s="22" t="n">
        <x:f>D11*(1-Assumptions!D16)</x:f>
        <x:v>0</x:v>
      </x:c>
      <x:c r="E12" s="22" t="n">
        <x:f>E11*(1-Assumptions!D16)</x:f>
        <x:v>55958668.959375</x:v>
      </x:c>
      <x:c r="F12" s="22" t="n">
        <x:f>F11*(1-Assumptions!D16)</x:f>
        <x:v>149129852.77673435</x:v>
      </x:c>
      <x:c r="G12" s="22" t="n">
        <x:f>G11*(1-Assumptions!D16)</x:f>
        <x:v>235166306.30177337</x:v>
      </x:c>
      <x:c r="H12" s="22" t="n">
        <x:f>H11*(1-Assumptions!D16)</x:f>
        <x:v>241045463.95931768</x:v>
      </x:c>
      <x:c r="I12" s="22" t="n">
        <x:f>I11*(1-Assumptions!D16)</x:f>
        <x:v>247071600.55830058</x:v>
      </x:c>
      <x:c r="J12" s="22" t="n">
        <x:f>J11*(1-Assumptions!D16)</x:f>
        <x:v>253248390.57225809</x:v>
      </x:c>
      <x:c r="K12" s="22" t="n">
        <x:f>K11*(1-Assumptions!D16)</x:f>
        <x:v>259579600.33656457</x:v>
      </x:c>
      <x:c r="L12" s="22" t="n">
        <x:f>L11*(1-Assumptions!D16)</x:f>
        <x:v>266069090.3449786</x:v>
      </x:c>
      <x:c r="M12" s="22" t="n">
        <x:f>M11*(1-Assumptions!D16)</x:f>
        <x:v>272720817.60360307</x:v>
      </x:c>
      <x:c r="N12" s="1"/>
      <x:c r="O12" s="1"/>
      <x:c r="P12" s="1"/>
      <x:c r="Q12" s="1"/>
      <x:c r="R12" s="1"/>
    </x:row>
    <x:row r="13">
      <x:c r="A13" s="1"/>
      <x:c r="B13" s="1"/>
      <x:c r="C13" s="1" t="str">
        <x:v>Retail property income</x:v>
      </x:c>
      <x:c r="D13" s="22" t="n">
        <x:f>Assumptions!D11*Assumptions!D17*(1+Assumptions!D20)^(D6-1)*Assumptions!D18*(1-Assumptions!D19)*D7</x:f>
        <x:v>0</x:v>
      </x:c>
      <x:c r="E13" s="22" t="n">
        <x:f>Assumptions!D11*Assumptions!D17*(1+Assumptions!D20)^(E6-1)*Assumptions!D18*(1-Assumptions!D19)*E7</x:f>
        <x:v>532743.7499999999</x:v>
      </x:c>
      <x:c r="F13" s="22" t="n">
        <x:f>Assumptions!D11*Assumptions!D17*(1+Assumptions!D20)^(F6-1)*Assumptions!D18*(1-Assumptions!D19)*F7</x:f>
        <x:v>1419762.0937499998</x:v>
      </x:c>
      <x:c r="G13" s="22" t="n">
        <x:f>Assumptions!D11*Assumptions!D17*(1+Assumptions!D20)^(G6-1)*Assumptions!D18*(1-Assumptions!D19)*G7</x:f>
        <x:v>2238855.609374999</x:v>
      </x:c>
      <x:c r="H13" s="22" t="n">
        <x:f>Assumptions!D11*Assumptions!D17*(1+Assumptions!D20)^(H6-1)*Assumptions!D18*(1-Assumptions!D19)*H7</x:f>
        <x:v>2294826.999609374</x:v>
      </x:c>
      <x:c r="I13" s="22" t="n">
        <x:f>Assumptions!D11*Assumptions!D17*(1+Assumptions!D20)^(I6-1)*Assumptions!D18*(1-Assumptions!D19)*I7</x:f>
        <x:v>2352197.674599608</x:v>
      </x:c>
      <x:c r="J13" s="22" t="n">
        <x:f>Assumptions!D11*Assumptions!D17*(1+Assumptions!D20)^(J6-1)*Assumptions!D18*(1-Assumptions!D19)*J7</x:f>
        <x:v>2411002.616464598</x:v>
      </x:c>
      <x:c r="K13" s="22" t="n">
        <x:f>Assumptions!D11*Assumptions!D17*(1+Assumptions!D20)^(K6-1)*Assumptions!D18*(1-Assumptions!D19)*K7</x:f>
        <x:v>2471277.681876213</x:v>
      </x:c>
      <x:c r="L13" s="22" t="n">
        <x:f>Assumptions!D11*Assumptions!D17*(1+Assumptions!D20)^(L6-1)*Assumptions!D18*(1-Assumptions!D19)*L7</x:f>
        <x:v>2533059.6239231178</x:v>
      </x:c>
      <x:c r="M13" s="22" t="n">
        <x:f>Assumptions!D11*Assumptions!D17*(1+Assumptions!D20)^(M6-1)*Assumptions!D18*(1-Assumptions!D19)*M7</x:f>
        <x:v>2596386.1145211956</x:v>
      </x:c>
      <x:c r="N13" s="1"/>
      <x:c r="O13" s="1"/>
      <x:c r="P13" s="1"/>
      <x:c r="Q13" s="1"/>
      <x:c r="R13" s="1"/>
    </x:row>
    <x:row r="14">
      <x:c r="A14" s="1"/>
      <x:c r="B14" s="1"/>
      <x:c r="C14" s="25" t="str">
        <x:v>Total property income</x:v>
      </x:c>
      <x:c r="D14" s="26" t="n">
        <x:f>D12+D13</x:f>
        <x:v>0</x:v>
      </x:c>
      <x:c r="E14" s="26" t="n">
        <x:f>E12+E13</x:f>
        <x:v>56491412.709375</x:v>
      </x:c>
      <x:c r="F14" s="26" t="n">
        <x:f>F12+F13</x:f>
        <x:v>150549614.87048435</x:v>
      </x:c>
      <x:c r="G14" s="26" t="n">
        <x:f>G12+G13</x:f>
        <x:v>237405161.91114837</x:v>
      </x:c>
      <x:c r="H14" s="26" t="n">
        <x:f>H12+H13</x:f>
        <x:v>243340290.95892707</x:v>
      </x:c>
      <x:c r="I14" s="26" t="n">
        <x:f>I12+I13</x:f>
        <x:v>249423798.2329002</x:v>
      </x:c>
      <x:c r="J14" s="26" t="n">
        <x:f>J12+J13</x:f>
        <x:v>255659393.18872267</x:v>
      </x:c>
      <x:c r="K14" s="26" t="n">
        <x:f>K12+K13</x:f>
        <x:v>262050878.01844078</x:v>
      </x:c>
      <x:c r="L14" s="26" t="n">
        <x:f>L12+L13</x:f>
        <x:v>268602149.9689017</x:v>
      </x:c>
      <x:c r="M14" s="26" t="n">
        <x:f>M12+M13</x:f>
        <x:v>275317203.7181243</x:v>
      </x:c>
      <x:c r="N14" s="1"/>
      <x:c r="O14" s="1"/>
      <x:c r="P14" s="1"/>
      <x:c r="Q14" s="1"/>
      <x:c r="R14" s="1"/>
    </x:row>
    <x:row r="15">
      <x:c r="A15" s="1"/>
      <x:c r="B15" s="1"/>
      <x:c r="C15" s="1" t="str">
        <x:v>Cumulative housing and retail bonds</x:v>
      </x:c>
      <x:c r="D15" s="22" t="n">
        <x:f>(D8*Assumptions!D21+Assumptions!D11*Assumptions!D22*D7)*(1+Assumptions!D24)</x:f>
        <x:v>0</x:v>
      </x:c>
      <x:c r="E15" s="22" t="n">
        <x:f>(E8*Assumptions!D21+Assumptions!D11*Assumptions!D22*E7)*(1+Assumptions!D24)</x:f>
        <x:v>1241784375</x:v>
      </x:c>
      <x:c r="F15" s="22" t="n">
        <x:f>(F8*Assumptions!D21+Assumptions!D11*Assumptions!D22*F7)*(1+Assumptions!D24)</x:f>
        <x:v>3228639374.9999995</x:v>
      </x:c>
      <x:c r="G15" s="22" t="n">
        <x:f>(G8*Assumptions!D21+Assumptions!D11*Assumptions!D22*G7)*(1+Assumptions!D24)</x:f>
        <x:v>4967137500</x:v>
      </x:c>
      <x:c r="H15" s="22" t="n">
        <x:f>(H8*Assumptions!D21+Assumptions!D11*Assumptions!D22*H7)*(1+Assumptions!D24)</x:f>
        <x:v>4967137500</x:v>
      </x:c>
      <x:c r="I15" s="22" t="n">
        <x:f>(I8*Assumptions!D21+Assumptions!D11*Assumptions!D22*I7)*(1+Assumptions!D24)</x:f>
        <x:v>4967137500</x:v>
      </x:c>
      <x:c r="J15" s="22" t="n">
        <x:f>(J8*Assumptions!D21+Assumptions!D11*Assumptions!D22*J7)*(1+Assumptions!D24)</x:f>
        <x:v>4967137500</x:v>
      </x:c>
      <x:c r="K15" s="22" t="n">
        <x:f>(K8*Assumptions!D21+Assumptions!D11*Assumptions!D22*K7)*(1+Assumptions!D24)</x:f>
        <x:v>4967137500</x:v>
      </x:c>
      <x:c r="L15" s="22" t="n">
        <x:f>(L8*Assumptions!D21+Assumptions!D11*Assumptions!D22*L7)*(1+Assumptions!D24)</x:f>
        <x:v>4967137500</x:v>
      </x:c>
      <x:c r="M15" s="22" t="n">
        <x:f>(M8*Assumptions!D21+Assumptions!D11*Assumptions!D22*M7)*(1+Assumptions!D24)</x:f>
        <x:v>4967137500</x:v>
      </x:c>
      <x:c r="N15" s="1"/>
      <x:c r="O15" s="1"/>
      <x:c r="P15" s="1"/>
      <x:c r="Q15" s="1"/>
      <x:c r="R15" s="1"/>
    </x:row>
    <x:row r="16">
      <x:c r="A16" s="1"/>
      <x:c r="B16" s="1"/>
      <x:c r="C16" s="1" t="str">
        <x:v>Public park, infrastructure and solar bonds</x:v>
      </x:c>
      <x:c r="D16" s="22" t="n">
        <x:f>(Assumptions!D23+Assumptions!D29+Assumptions!H6)*(1+Assumptions!D24)</x:f>
        <x:v>488749999.99999994</x:v>
      </x:c>
      <x:c r="E16" s="22" t="n">
        <x:f>(Assumptions!D23+Assumptions!D29+Assumptions!H6)*(1+Assumptions!D24)</x:f>
        <x:v>488749999.99999994</x:v>
      </x:c>
      <x:c r="F16" s="22" t="n">
        <x:f>(Assumptions!D23+Assumptions!D29+Assumptions!H6)*(1+Assumptions!D24)</x:f>
        <x:v>488749999.99999994</x:v>
      </x:c>
      <x:c r="G16" s="22" t="n">
        <x:f>(Assumptions!D23+Assumptions!D29+Assumptions!H6)*(1+Assumptions!D24)</x:f>
        <x:v>488749999.99999994</x:v>
      </x:c>
      <x:c r="H16" s="22" t="n">
        <x:f>(Assumptions!D23+Assumptions!D29+Assumptions!H6)*(1+Assumptions!D24)</x:f>
        <x:v>488749999.99999994</x:v>
      </x:c>
      <x:c r="I16" s="22" t="n">
        <x:f>(Assumptions!D23+Assumptions!D29+Assumptions!H6)*(1+Assumptions!D24)</x:f>
        <x:v>488749999.99999994</x:v>
      </x:c>
      <x:c r="J16" s="22" t="n">
        <x:f>(Assumptions!D23+Assumptions!D29+Assumptions!H6)*(1+Assumptions!D24)</x:f>
        <x:v>488749999.99999994</x:v>
      </x:c>
      <x:c r="K16" s="22" t="n">
        <x:f>(Assumptions!D23+Assumptions!D29+Assumptions!H6)*(1+Assumptions!D24)</x:f>
        <x:v>488749999.99999994</x:v>
      </x:c>
      <x:c r="L16" s="22" t="n">
        <x:f>(Assumptions!D23+Assumptions!D29+Assumptions!H6)*(1+Assumptions!D24)</x:f>
        <x:v>488749999.99999994</x:v>
      </x:c>
      <x:c r="M16" s="22" t="n">
        <x:f>(Assumptions!D23+Assumptions!D29+Assumptions!H6)*(1+Assumptions!D24)</x:f>
        <x:v>488749999.99999994</x:v>
      </x:c>
      <x:c r="N16" s="1"/>
      <x:c r="O16" s="1"/>
      <x:c r="P16" s="1"/>
      <x:c r="Q16" s="1"/>
      <x:c r="R16" s="1"/>
    </x:row>
    <x:row r="17">
      <x:c r="A17" s="1"/>
      <x:c r="B17" s="1"/>
      <x:c r="C17" s="1" t="str">
        <x:v>Annual bond debt service</x:v>
      </x:c>
      <x:c r="D17" s="22" t="n">
        <x:f>(D15+D16)*Assumptions!D25/(1-(1+Assumptions!D25)^(-Assumptions!D26))</x:f>
        <x:v>31793888.89548517</x:v>
      </x:c>
      <x:c r="E17" s="22" t="n">
        <x:f>(E15+E16)*Assumptions!D25/(1-(1+Assumptions!D25)^(-Assumptions!D26))</x:f>
        <x:v>112573744.54949947</x:v>
      </x:c>
      <x:c r="F17" s="22" t="n">
        <x:f>(F15+F16)*Assumptions!D25/(1-(1+Assumptions!D25)^(-Assumptions!D26))</x:f>
        <x:v>241821513.59592235</x:v>
      </x:c>
      <x:c r="G17" s="22" t="n">
        <x:f>(G15+G16)*Assumptions!D25/(1-(1+Assumptions!D25)^(-Assumptions!D26))</x:f>
        <x:v>354913311.5115424</x:v>
      </x:c>
      <x:c r="H17" s="22" t="n">
        <x:f>(H15+H16)*Assumptions!D25/(1-(1+Assumptions!D25)^(-Assumptions!D26))</x:f>
        <x:v>354913311.5115424</x:v>
      </x:c>
      <x:c r="I17" s="22" t="n">
        <x:f>(I15+I16)*Assumptions!D25/(1-(1+Assumptions!D25)^(-Assumptions!D26))</x:f>
        <x:v>354913311.5115424</x:v>
      </x:c>
      <x:c r="J17" s="22" t="n">
        <x:f>(J15+J16)*Assumptions!D25/(1-(1+Assumptions!D25)^(-Assumptions!D26))</x:f>
        <x:v>354913311.5115424</x:v>
      </x:c>
      <x:c r="K17" s="22" t="n">
        <x:f>(K15+K16)*Assumptions!D25/(1-(1+Assumptions!D25)^(-Assumptions!D26))</x:f>
        <x:v>354913311.5115424</x:v>
      </x:c>
      <x:c r="L17" s="22" t="n">
        <x:f>(L15+L16)*Assumptions!D25/(1-(1+Assumptions!D25)^(-Assumptions!D26))</x:f>
        <x:v>354913311.5115424</x:v>
      </x:c>
      <x:c r="M17" s="22" t="n">
        <x:f>(M15+M16)*Assumptions!D25/(1-(1+Assumptions!D25)^(-Assumptions!D26))</x:f>
        <x:v>354913311.5115424</x:v>
      </x:c>
      <x:c r="N17" s="1"/>
      <x:c r="O17" s="1"/>
      <x:c r="P17" s="1"/>
      <x:c r="Q17" s="1"/>
      <x:c r="R17" s="1"/>
    </x:row>
    <x:row r="18">
      <x:c r="A18" s="1"/>
      <x:c r="B18" s="1"/>
      <x:c r="C18" s="1" t="str">
        <x:v>Park and civic operations</x:v>
      </x:c>
      <x:c r="D18" s="22" t="n">
        <x:f>Assumptions!D27*(0.35+0.65*D7)</x:f>
        <x:v>5250000</x:v>
      </x:c>
      <x:c r="E18" s="22" t="n">
        <x:f>Assumptions!D27*(0.35+0.65*E7)</x:f>
        <x:v>7687499.999999999</x:v>
      </x:c>
      <x:c r="F18" s="22" t="n">
        <x:f>Assumptions!D27*(0.35+0.65*F7)</x:f>
        <x:v>11587500</x:v>
      </x:c>
      <x:c r="G18" s="22" t="n">
        <x:f>Assumptions!D27*(0.35+0.65*G7)</x:f>
        <x:v>15000000</x:v>
      </x:c>
      <x:c r="H18" s="22" t="n">
        <x:f>Assumptions!D27*(0.35+0.65*H7)</x:f>
        <x:v>15000000</x:v>
      </x:c>
      <x:c r="I18" s="22" t="n">
        <x:f>Assumptions!D27*(0.35+0.65*I7)</x:f>
        <x:v>15000000</x:v>
      </x:c>
      <x:c r="J18" s="22" t="n">
        <x:f>Assumptions!D27*(0.35+0.65*J7)</x:f>
        <x:v>15000000</x:v>
      </x:c>
      <x:c r="K18" s="22" t="n">
        <x:f>Assumptions!D27*(0.35+0.65*K7)</x:f>
        <x:v>15000000</x:v>
      </x:c>
      <x:c r="L18" s="22" t="n">
        <x:f>Assumptions!D27*(0.35+0.65*L7)</x:f>
        <x:v>15000000</x:v>
      </x:c>
      <x:c r="M18" s="22" t="n">
        <x:f>Assumptions!D27*(0.35+0.65*M7)</x:f>
        <x:v>15000000</x:v>
      </x:c>
      <x:c r="N18" s="1"/>
      <x:c r="O18" s="1"/>
      <x:c r="P18" s="1"/>
      <x:c r="Q18" s="1"/>
      <x:c r="R18" s="1"/>
    </x:row>
    <x:row r="19">
      <x:c r="A19" s="1"/>
      <x:c r="B19" s="1"/>
      <x:c r="C19" s="29" t="str">
        <x:v>Incremental annual City cash</x:v>
      </x:c>
      <x:c r="D19" s="30" t="n">
        <x:f>D14+D27-D17-D18-D28-Assumptions!D28*D7</x:f>
        <x:v>-37043888.89548517</x:v>
      </x:c>
      <x:c r="E19" s="30" t="n">
        <x:f>E14+E27-E17-E18-E28-Assumptions!D28*E7</x:f>
        <x:v>-68074344.83699948</x:v>
      </x:c>
      <x:c r="F19" s="30" t="n">
        <x:f>F14+F27-F17-F18-F28-Assumptions!D28*F7</x:f>
        <x:v>-114330925.86210987</x:v>
      </x:c>
      <x:c r="G19" s="30" t="n">
        <x:f>G14+G27-G17-G18-G28-Assumptions!D28*G7</x:f>
        <x:v>-150597865.4697612</x:v>
      </x:c>
      <x:c r="H19" s="30" t="n">
        <x:f>H14+H27-H17-H18-H28-Assumptions!D28*H7</x:f>
        <x:v>-145114979.31871668</x:v>
      </x:c>
      <x:c r="I19" s="30" t="n">
        <x:f>I14+I27-I17-I18-I28-Assumptions!D28*I7</x:f>
        <x:v>-139495021.01389608</x:v>
      </x:c>
      <x:c r="J19" s="30" t="n">
        <x:f>J14+J27-J17-J18-J28-Assumptions!D28*J7</x:f>
        <x:v>-133734563.75145495</x:v>
      </x:c>
      <x:c r="K19" s="30" t="n">
        <x:f>K14+K27-K17-K18-K28-Assumptions!D28*K7</x:f>
        <x:v>-127830095.05745272</x:v>
      </x:c>
      <x:c r="L19" s="30" t="n">
        <x:f>L14+L27-L17-L18-L28-Assumptions!D28*L7</x:f>
        <x:v>-121778014.64610058</x:v>
      </x:c>
      <x:c r="M19" s="30" t="n">
        <x:f>M14+M27-M17-M18-M28-Assumptions!D28*M7</x:f>
        <x:v>-115574632.2244645</x:v>
      </x:c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 t="str">
        <x:v>Net developable housing acres</x:v>
      </x:c>
      <x:c r="D21" s="21" t="n">
        <x:f>MAX(0,Assumptions!D9-Assumptions!D7-Assumptions!D10)</x:f>
        <x:v>127</x:v>
      </x:c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 t="str">
        <x:v>Homes at full buildout</x:v>
      </x:c>
      <x:c r="D22" s="21" t="n">
        <x:f>D21*Assumptions!D8</x:f>
        <x:v>9525</x:v>
      </x:c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 t="str">
        <x:v>All-in authorized construction bonds</x:v>
      </x:c>
      <x:c r="D23" s="22" t="n">
        <x:f>M15+M16</x:f>
        <x:v>5455887500</x:v>
      </x:c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 t="str">
        <x:v>Annual debt service at full buildout</x:v>
      </x:c>
      <x:c r="D24" s="22" t="n">
        <x:f>M17</x:f>
        <x:v>354913311.5115424</x:v>
      </x:c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 t="str">
        <x:v>Solar savings allowance</x:v>
      </x:c>
      <x:c r="D27" s="22" t="n">
        <x:f>Assumptions!H7*D7</x:f>
        <x:v>0</x:v>
      </x:c>
      <x:c r="E27" s="22" t="n">
        <x:f>Assumptions!H7*E7</x:f>
        <x:v>1250000</x:v>
      </x:c>
      <x:c r="F27" s="22" t="n">
        <x:f>Assumptions!H7*F7</x:f>
        <x:v>3250000</x:v>
      </x:c>
      <x:c r="G27" s="22" t="n">
        <x:f>Assumptions!H7*G7</x:f>
        <x:v>5000000</x:v>
      </x:c>
      <x:c r="H27" s="22" t="n">
        <x:f>Assumptions!H7*H7</x:f>
        <x:v>5000000</x:v>
      </x:c>
      <x:c r="I27" s="22" t="n">
        <x:f>Assumptions!H7*I7</x:f>
        <x:v>5000000</x:v>
      </x:c>
      <x:c r="J27" s="22" t="n">
        <x:f>Assumptions!H7*J7</x:f>
        <x:v>5000000</x:v>
      </x:c>
      <x:c r="K27" s="22" t="n">
        <x:f>Assumptions!H7*K7</x:f>
        <x:v>5000000</x:v>
      </x:c>
      <x:c r="L27" s="22" t="n">
        <x:f>Assumptions!H7*L7</x:f>
        <x:v>5000000</x:v>
      </x:c>
      <x:c r="M27" s="22" t="n">
        <x:f>Assumptions!H7*M7</x:f>
        <x:v>5000000</x:v>
      </x:c>
      <x:c r="N27" s="1"/>
      <x:c r="O27" s="1"/>
      <x:c r="P27" s="1"/>
      <x:c r="Q27" s="1"/>
      <x:c r="R27" s="1"/>
    </x:row>
    <x:row r="28">
      <x:c r="A28" s="1"/>
      <x:c r="B28" s="1"/>
      <x:c r="C28" s="1" t="str">
        <x:v>Major replacement reserve</x:v>
      </x:c>
      <x:c r="D28" s="22" t="n">
        <x:f>D11*Assumptions!H8</x:f>
        <x:v>0</x:v>
      </x:c>
      <x:c r="E28" s="22" t="n">
        <x:f>E11*Assumptions!H8</x:f>
        <x:v>4304512.996875</x:v>
      </x:c>
      <x:c r="F28" s="22" t="n">
        <x:f>F11*Assumptions!H8</x:f>
        <x:v>11471527.136671875</x:v>
      </x:c>
      <x:c r="G28" s="22" t="n">
        <x:f>G11*Assumptions!H8</x:f>
        <x:v>18089715.869367182</x:v>
      </x:c>
      <x:c r="H28" s="22" t="n">
        <x:f>H11*Assumptions!H8</x:f>
        <x:v>18541958.76610136</x:v>
      </x:c>
      <x:c r="I28" s="22" t="n">
        <x:f>I11*Assumptions!H8</x:f>
        <x:v>19005507.735253893</x:v>
      </x:c>
      <x:c r="J28" s="22" t="n">
        <x:f>J11*Assumptions!H8</x:f>
        <x:v>19480645.428635236</x:v>
      </x:c>
      <x:c r="K28" s="22" t="n">
        <x:f>K11*Assumptions!H8</x:f>
        <x:v>19967661.564351123</x:v>
      </x:c>
      <x:c r="L28" s="22" t="n">
        <x:f>L11*Assumptions!H8</x:f>
        <x:v>20466853.103459895</x:v>
      </x:c>
      <x:c r="M28" s="22" t="n">
        <x:f>M11*Assumptions!H8</x:f>
        <x:v>20978524.43104639</x:v>
      </x:c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10" hidden="0" customWidth="1"/>
    <x:col min="4" max="4" width="14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  <x:col min="19" max="19" width="13" hidden="0" customWidth="1"/>
    <x:col min="20" max="20" width="13" hidden="0" customWidth="1"/>
    <x:col min="21" max="21" width="13" hidden="0" customWidth="1"/>
    <x:col min="22" max="22" width="13" hidden="0" customWidth="1"/>
    <x:col min="23" max="23" width="13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 ht="34" customHeight="1">
      <x:c r="A2" s="1"/>
      <x:c r="B2" s="1"/>
      <x:c r="C2" s="20" t="str">
        <x:v>Runway District | 40-year cash schedule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"/>
      <x:c r="B3" s="1"/>
      <x:c r="C3" s="1" t="str">
        <x:v>Year 1 is site work; full buildout in Year 4. All figures are nominal dollars.</x:v>
      </x:c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 ht="25" customHeight="1">
      <x:c r="A5" s="1"/>
      <x:c r="B5" s="1"/>
      <x:c r="C5" s="17" t="str">
        <x:v>Year</x:v>
      </x:c>
      <x:c r="D5" s="17" t="str">
        <x:v>Homes open</x:v>
      </x:c>
      <x:c r="E5" s="17" t="str">
        <x:v>Residential rent</x:v>
      </x:c>
      <x:c r="F5" s="17" t="str">
        <x:v>Property income</x:v>
      </x:c>
      <x:c r="G5" s="17" t="str">
        <x:v>Solar savings</x:v>
      </x:c>
      <x:c r="H5" s="17" t="str">
        <x:v>Debt service</x:v>
      </x:c>
      <x:c r="I5" s="17" t="str">
        <x:v>Park/civic</x:v>
      </x:c>
      <x:c r="J5" s="17" t="str">
        <x:v>Replacement reserve</x:v>
      </x:c>
      <x:c r="K5" s="17" t="str">
        <x:v>City annual cash</x:v>
      </x:c>
      <x:c r="L5" s="17" t="str">
        <x:v>Cumulative cash</x:v>
      </x:c>
      <x:c r="M5" s="17" t="str">
        <x:v>Bonds issued</x:v>
      </x:c>
      <x:c r="N5" s="17" t="str">
        <x:v>Y1 tranche</x:v>
      </x:c>
      <x:c r="O5" s="17" t="str">
        <x:v>Y2 tranche</x:v>
      </x:c>
      <x:c r="P5" s="17" t="str">
        <x:v>Y3 tranche</x:v>
      </x:c>
      <x:c r="Q5" s="17" t="str">
        <x:v>Y4 tranche</x:v>
      </x:c>
      <x:c r="R5" s="17" t="str">
        <x:v>Y5 tranche</x:v>
      </x:c>
      <x:c r="S5" s="17" t="str">
        <x:v>Y6 tranche</x:v>
      </x:c>
      <x:c r="T5" s="17" t="str">
        <x:v>Y7 tranche</x:v>
      </x:c>
      <x:c r="U5" s="17" t="str">
        <x:v>Y8 tranche</x:v>
      </x:c>
      <x:c r="V5" s="17" t="str">
        <x:v>Y9 tranche</x:v>
      </x:c>
      <x:c r="W5" s="17" t="str">
        <x:v>Y10 tranche</x:v>
      </x:c>
    </x:row>
    <x:row r="6">
      <x:c r="A6" s="1"/>
      <x:c r="B6" s="1"/>
      <x:c r="C6" s="1" t="n">
        <x:v>1</x:v>
      </x:c>
      <x:c r="D6" s="21" t="n">
        <x:f>'Annual model'!D8</x:f>
        <x:v>0</x:v>
      </x:c>
      <x:c r="E6" s="22" t="n">
        <x:f>'Annual model'!D11</x:f>
        <x:v>0</x:v>
      </x:c>
      <x:c r="F6" s="22" t="n">
        <x:f>'Annual model'!D14</x:f>
        <x:v>0</x:v>
      </x:c>
      <x:c r="G6" s="22" t="n">
        <x:f>'Annual model'!D27</x:f>
        <x:v>0</x:v>
      </x:c>
      <x:c r="H6" s="22" t="n">
        <x:f>SUM(N6:W6)</x:f>
        <x:v>31793888.89548517</x:v>
      </x:c>
      <x:c r="I6" s="22" t="n">
        <x:f>'Annual model'!D18</x:f>
        <x:v>5250000</x:v>
      </x:c>
      <x:c r="J6" s="22" t="n">
        <x:f>'Annual model'!D28</x:f>
        <x:v>0</x:v>
      </x:c>
      <x:c r="K6" s="22" t="n">
        <x:f>F6+G6-H6-I6-J6-Assumptions!D28*MIN(1,D6/'Annual model'!D22)</x:f>
        <x:v>-37043888.89548517</x:v>
      </x:c>
      <x:c r="L6" s="22" t="n">
        <x:f>K6</x:f>
        <x:v>-37043888.89548517</x:v>
      </x:c>
      <x:c r="M6" s="22" t="n">
        <x:f>'Annual model'!D15+'Annual model'!D16</x:f>
        <x:v>488749999.99999994</x:v>
      </x:c>
      <x:c r="N6" s="22" t="n">
        <x:f>IF(AND(C6&gt;=1,C6&lt;1+Assumptions!D26),'Annual model'!D17-0,0)</x:f>
        <x:v>31793888.89548517</x:v>
      </x:c>
      <x:c r="O6" s="22" t="n">
        <x:f>IF(AND(C6&gt;=2,C6&lt;2+Assumptions!D26),'Annual model'!E17-'Annual model'!D17,0)</x:f>
        <x:v>0</x:v>
      </x:c>
      <x:c r="P6" s="22" t="n">
        <x:f>IF(AND(C6&gt;=3,C6&lt;3+Assumptions!D26),'Annual model'!F17-'Annual model'!E17,0)</x:f>
        <x:v>0</x:v>
      </x:c>
      <x:c r="Q6" s="22" t="n">
        <x:f>IF(AND(C6&gt;=4,C6&lt;4+Assumptions!D26),'Annual model'!G17-'Annual model'!F17,0)</x:f>
        <x:v>0</x:v>
      </x:c>
      <x:c r="R6" s="22" t="n">
        <x:f>IF(AND(C6&gt;=5,C6&lt;5+Assumptions!D26),'Annual model'!H17-'Annual model'!G17,0)</x:f>
        <x:v>0</x:v>
      </x:c>
      <x:c r="S6" s="32" t="n">
        <x:f>IF(AND(C6&gt;=6,C6&lt;6+Assumptions!D26),'Annual model'!I17-'Annual model'!H17,0)</x:f>
        <x:v>0</x:v>
      </x:c>
      <x:c r="T6" s="32" t="n">
        <x:f>IF(AND(C6&gt;=7,C6&lt;7+Assumptions!D26),'Annual model'!J17-'Annual model'!I17,0)</x:f>
        <x:v>0</x:v>
      </x:c>
      <x:c r="U6" s="32" t="n">
        <x:f>IF(AND(C6&gt;=8,C6&lt;8+Assumptions!D26),'Annual model'!K17-'Annual model'!J17,0)</x:f>
        <x:v>0</x:v>
      </x:c>
      <x:c r="V6" s="32" t="n">
        <x:f>IF(AND(C6&gt;=9,C6&lt;9+Assumptions!D26),'Annual model'!L17-'Annual model'!K17,0)</x:f>
        <x:v>0</x:v>
      </x:c>
      <x:c r="W6" s="32" t="n">
        <x:f>IF(AND(C6&gt;=10,C6&lt;10+Assumptions!D26),'Annual model'!M17-'Annual model'!L17,0)</x:f>
        <x:v>0</x:v>
      </x:c>
    </x:row>
    <x:row r="7">
      <x:c r="A7" s="1"/>
      <x:c r="B7" s="1"/>
      <x:c r="C7" s="1" t="n">
        <x:v>2</x:v>
      </x:c>
      <x:c r="D7" s="21" t="n">
        <x:f>'Annual model'!E8</x:f>
        <x:v>2381.25</x:v>
      </x:c>
      <x:c r="E7" s="22" t="n">
        <x:f>'Annual model'!E11</x:f>
        <x:v>86090259.9375</x:v>
      </x:c>
      <x:c r="F7" s="22" t="n">
        <x:f>'Annual model'!E14</x:f>
        <x:v>56491412.709375</x:v>
      </x:c>
      <x:c r="G7" s="22" t="n">
        <x:f>'Annual model'!E27</x:f>
        <x:v>1250000</x:v>
      </x:c>
      <x:c r="H7" s="22" t="n">
        <x:f>SUM(N7:W7)</x:f>
        <x:v>112573744.54949945</x:v>
      </x:c>
      <x:c r="I7" s="22" t="n">
        <x:f>'Annual model'!E18</x:f>
        <x:v>7687499.999999999</x:v>
      </x:c>
      <x:c r="J7" s="22" t="n">
        <x:f>'Annual model'!E28</x:f>
        <x:v>4304512.996875</x:v>
      </x:c>
      <x:c r="K7" s="22" t="n">
        <x:f>F7+G7-H7-I7-J7-Assumptions!D28*MIN(1,D7/'Annual model'!D22)</x:f>
        <x:v>-68074344.83699945</x:v>
      </x:c>
      <x:c r="L7" s="22" t="n">
        <x:f>L6+K7</x:f>
        <x:v>-105118233.73248461</x:v>
      </x:c>
      <x:c r="M7" s="22" t="n">
        <x:f>'Annual model'!E15-'Annual model'!D15</x:f>
        <x:v>1241784375</x:v>
      </x:c>
      <x:c r="N7" s="22" t="n">
        <x:f>IF(AND(C7&gt;=1,C7&lt;1+Assumptions!D26),'Annual model'!D17-0,0)</x:f>
        <x:v>31793888.89548517</x:v>
      </x:c>
      <x:c r="O7" s="22" t="n">
        <x:f>IF(AND(C7&gt;=2,C7&lt;2+Assumptions!D26),'Annual model'!E17-'Annual model'!D17,0)</x:f>
        <x:v>80779855.65401429</x:v>
      </x:c>
      <x:c r="P7" s="22" t="n">
        <x:f>IF(AND(C7&gt;=3,C7&lt;3+Assumptions!D26),'Annual model'!F17-'Annual model'!E17,0)</x:f>
        <x:v>0</x:v>
      </x:c>
      <x:c r="Q7" s="22" t="n">
        <x:f>IF(AND(C7&gt;=4,C7&lt;4+Assumptions!D26),'Annual model'!G17-'Annual model'!F17,0)</x:f>
        <x:v>0</x:v>
      </x:c>
      <x:c r="R7" s="22" t="n">
        <x:f>IF(AND(C7&gt;=5,C7&lt;5+Assumptions!D26),'Annual model'!H17-'Annual model'!G17,0)</x:f>
        <x:v>0</x:v>
      </x:c>
      <x:c r="S7" s="32" t="n">
        <x:f>IF(AND(C7&gt;=6,C7&lt;6+Assumptions!D26),'Annual model'!I17-'Annual model'!H17,0)</x:f>
        <x:v>0</x:v>
      </x:c>
      <x:c r="T7" s="32" t="n">
        <x:f>IF(AND(C7&gt;=7,C7&lt;7+Assumptions!D26),'Annual model'!J17-'Annual model'!I17,0)</x:f>
        <x:v>0</x:v>
      </x:c>
      <x:c r="U7" s="32" t="n">
        <x:f>IF(AND(C7&gt;=8,C7&lt;8+Assumptions!D26),'Annual model'!K17-'Annual model'!J17,0)</x:f>
        <x:v>0</x:v>
      </x:c>
      <x:c r="V7" s="32" t="n">
        <x:f>IF(AND(C7&gt;=9,C7&lt;9+Assumptions!D26),'Annual model'!L17-'Annual model'!K17,0)</x:f>
        <x:v>0</x:v>
      </x:c>
      <x:c r="W7" s="32" t="n">
        <x:f>IF(AND(C7&gt;=10,C7&lt;10+Assumptions!D26),'Annual model'!M17-'Annual model'!L17,0)</x:f>
        <x:v>0</x:v>
      </x:c>
    </x:row>
    <x:row r="8">
      <x:c r="A8" s="1"/>
      <x:c r="B8" s="1"/>
      <x:c r="C8" s="1" t="n">
        <x:v>3</x:v>
      </x:c>
      <x:c r="D8" s="21" t="n">
        <x:f>'Annual model'!F8</x:f>
        <x:v>6191.25</x:v>
      </x:c>
      <x:c r="E8" s="22" t="n">
        <x:f>'Annual model'!F11</x:f>
        <x:v>229430542.73343748</x:v>
      </x:c>
      <x:c r="F8" s="22" t="n">
        <x:f>'Annual model'!F14</x:f>
        <x:v>150549614.87048435</x:v>
      </x:c>
      <x:c r="G8" s="22" t="n">
        <x:f>'Annual model'!F27</x:f>
        <x:v>3250000</x:v>
      </x:c>
      <x:c r="H8" s="22" t="n">
        <x:f>SUM(N8:W8)</x:f>
        <x:v>241821513.59592235</x:v>
      </x:c>
      <x:c r="I8" s="22" t="n">
        <x:f>'Annual model'!F18</x:f>
        <x:v>11587500</x:v>
      </x:c>
      <x:c r="J8" s="22" t="n">
        <x:f>'Annual model'!F28</x:f>
        <x:v>11471527.136671875</x:v>
      </x:c>
      <x:c r="K8" s="22" t="n">
        <x:f>F8+G8-H8-I8-J8-Assumptions!D28*MIN(1,D8/'Annual model'!D22)</x:f>
        <x:v>-114330925.86210987</x:v>
      </x:c>
      <x:c r="L8" s="22" t="n">
        <x:f>L7+K8</x:f>
        <x:v>-219449159.59459448</x:v>
      </x:c>
      <x:c r="M8" s="22" t="n">
        <x:f>'Annual model'!F15-'Annual model'!E15</x:f>
        <x:v>1986854999.9999995</x:v>
      </x:c>
      <x:c r="N8" s="22" t="n">
        <x:f>IF(AND(C8&gt;=1,C8&lt;1+Assumptions!D26),'Annual model'!D17-0,0)</x:f>
        <x:v>31793888.89548517</x:v>
      </x:c>
      <x:c r="O8" s="22" t="n">
        <x:f>IF(AND(C8&gt;=2,C8&lt;2+Assumptions!D26),'Annual model'!E17-'Annual model'!D17,0)</x:f>
        <x:v>80779855.65401429</x:v>
      </x:c>
      <x:c r="P8" s="22" t="n">
        <x:f>IF(AND(C8&gt;=3,C8&lt;3+Assumptions!D26),'Annual model'!F17-'Annual model'!E17,0)</x:f>
        <x:v>129247769.04642288</x:v>
      </x:c>
      <x:c r="Q8" s="22" t="n">
        <x:f>IF(AND(C8&gt;=4,C8&lt;4+Assumptions!D26),'Annual model'!G17-'Annual model'!F17,0)</x:f>
        <x:v>0</x:v>
      </x:c>
      <x:c r="R8" s="22" t="n">
        <x:f>IF(AND(C8&gt;=5,C8&lt;5+Assumptions!D26),'Annual model'!H17-'Annual model'!G17,0)</x:f>
        <x:v>0</x:v>
      </x:c>
      <x:c r="S8" s="32" t="n">
        <x:f>IF(AND(C8&gt;=6,C8&lt;6+Assumptions!D26),'Annual model'!I17-'Annual model'!H17,0)</x:f>
        <x:v>0</x:v>
      </x:c>
      <x:c r="T8" s="32" t="n">
        <x:f>IF(AND(C8&gt;=7,C8&lt;7+Assumptions!D26),'Annual model'!J17-'Annual model'!I17,0)</x:f>
        <x:v>0</x:v>
      </x:c>
      <x:c r="U8" s="32" t="n">
        <x:f>IF(AND(C8&gt;=8,C8&lt;8+Assumptions!D26),'Annual model'!K17-'Annual model'!J17,0)</x:f>
        <x:v>0</x:v>
      </x:c>
      <x:c r="V8" s="32" t="n">
        <x:f>IF(AND(C8&gt;=9,C8&lt;9+Assumptions!D26),'Annual model'!L17-'Annual model'!K17,0)</x:f>
        <x:v>0</x:v>
      </x:c>
      <x:c r="W8" s="32" t="n">
        <x:f>IF(AND(C8&gt;=10,C8&lt;10+Assumptions!D26),'Annual model'!M17-'Annual model'!L17,0)</x:f>
        <x:v>0</x:v>
      </x:c>
    </x:row>
    <x:row r="9">
      <x:c r="A9" s="1"/>
      <x:c r="B9" s="1"/>
      <x:c r="C9" s="29" t="n">
        <x:v>4</x:v>
      </x:c>
      <x:c r="D9" s="34" t="n">
        <x:f>'Annual model'!G8</x:f>
        <x:v>9525</x:v>
      </x:c>
      <x:c r="E9" s="30" t="n">
        <x:f>'Annual model'!G11</x:f>
        <x:v>361794317.38734365</x:v>
      </x:c>
      <x:c r="F9" s="30" t="n">
        <x:f>'Annual model'!G14</x:f>
        <x:v>237405161.91114837</x:v>
      </x:c>
      <x:c r="G9" s="30" t="n">
        <x:f>'Annual model'!G27</x:f>
        <x:v>5000000</x:v>
      </x:c>
      <x:c r="H9" s="30" t="n">
        <x:f>SUM(N9:W9)</x:f>
        <x:v>354913311.5115424</x:v>
      </x:c>
      <x:c r="I9" s="30" t="n">
        <x:f>'Annual model'!G18</x:f>
        <x:v>15000000</x:v>
      </x:c>
      <x:c r="J9" s="30" t="n">
        <x:f>'Annual model'!G28</x:f>
        <x:v>18089715.869367182</x:v>
      </x:c>
      <x:c r="K9" s="30" t="n">
        <x:f>F9+G9-H9-I9-J9-Assumptions!D28*MIN(1,D9/'Annual model'!D22)</x:f>
        <x:v>-150597865.4697612</x:v>
      </x:c>
      <x:c r="L9" s="30" t="n">
        <x:f>L8+K9</x:f>
        <x:v>-370047025.0643557</x:v>
      </x:c>
      <x:c r="M9" s="30" t="n">
        <x:f>'Annual model'!G15-'Annual model'!F15</x:f>
        <x:v>1738498125.0000005</x:v>
      </x:c>
      <x:c r="N9" s="22" t="n">
        <x:f>IF(AND(C9&gt;=1,C9&lt;1+Assumptions!D26),'Annual model'!D17-0,0)</x:f>
        <x:v>31793888.89548517</x:v>
      </x:c>
      <x:c r="O9" s="22" t="n">
        <x:f>IF(AND(C9&gt;=2,C9&lt;2+Assumptions!D26),'Annual model'!E17-'Annual model'!D17,0)</x:f>
        <x:v>80779855.65401429</x:v>
      </x:c>
      <x:c r="P9" s="22" t="n">
        <x:f>IF(AND(C9&gt;=3,C9&lt;3+Assumptions!D26),'Annual model'!F17-'Annual model'!E17,0)</x:f>
        <x:v>129247769.04642288</x:v>
      </x:c>
      <x:c r="Q9" s="22" t="n">
        <x:f>IF(AND(C9&gt;=4,C9&lt;4+Assumptions!D26),'Annual model'!G17-'Annual model'!F17,0)</x:f>
        <x:v>113091797.91562003</x:v>
      </x:c>
      <x:c r="R9" s="22" t="n">
        <x:f>IF(AND(C9&gt;=5,C9&lt;5+Assumptions!D26),'Annual model'!H17-'Annual model'!G17,0)</x:f>
        <x:v>0</x:v>
      </x:c>
      <x:c r="S9" s="32" t="n">
        <x:f>IF(AND(C9&gt;=6,C9&lt;6+Assumptions!D26),'Annual model'!I17-'Annual model'!H17,0)</x:f>
        <x:v>0</x:v>
      </x:c>
      <x:c r="T9" s="32" t="n">
        <x:f>IF(AND(C9&gt;=7,C9&lt;7+Assumptions!D26),'Annual model'!J17-'Annual model'!I17,0)</x:f>
        <x:v>0</x:v>
      </x:c>
      <x:c r="U9" s="32" t="n">
        <x:f>IF(AND(C9&gt;=8,C9&lt;8+Assumptions!D26),'Annual model'!K17-'Annual model'!J17,0)</x:f>
        <x:v>0</x:v>
      </x:c>
      <x:c r="V9" s="32" t="n">
        <x:f>IF(AND(C9&gt;=9,C9&lt;9+Assumptions!D26),'Annual model'!L17-'Annual model'!K17,0)</x:f>
        <x:v>0</x:v>
      </x:c>
      <x:c r="W9" s="32" t="n">
        <x:f>IF(AND(C9&gt;=10,C9&lt;10+Assumptions!D26),'Annual model'!M17-'Annual model'!L17,0)</x:f>
        <x:v>0</x:v>
      </x:c>
    </x:row>
    <x:row r="10">
      <x:c r="A10" s="1"/>
      <x:c r="B10" s="1"/>
      <x:c r="C10" s="1" t="n">
        <x:v>5</x:v>
      </x:c>
      <x:c r="D10" s="21" t="n">
        <x:f>'Annual model'!H8</x:f>
        <x:v>9525</x:v>
      </x:c>
      <x:c r="E10" s="22" t="n">
        <x:f>'Annual model'!H11</x:f>
        <x:v>370839175.3220272</x:v>
      </x:c>
      <x:c r="F10" s="22" t="n">
        <x:f>'Annual model'!H14</x:f>
        <x:v>243340290.95892707</x:v>
      </x:c>
      <x:c r="G10" s="22" t="n">
        <x:f>'Annual model'!H27</x:f>
        <x:v>5000000</x:v>
      </x:c>
      <x:c r="H10" s="22" t="n">
        <x:f>SUM(N10:W10)</x:f>
        <x:v>354913311.5115424</x:v>
      </x:c>
      <x:c r="I10" s="22" t="n">
        <x:f>'Annual model'!H18</x:f>
        <x:v>15000000</x:v>
      </x:c>
      <x:c r="J10" s="22" t="n">
        <x:f>'Annual model'!H28</x:f>
        <x:v>18541958.76610136</x:v>
      </x:c>
      <x:c r="K10" s="22" t="n">
        <x:f>F10+G10-H10-I10-J10-Assumptions!D28*MIN(1,D10/'Annual model'!D22)</x:f>
        <x:v>-145114979.31871668</x:v>
      </x:c>
      <x:c r="L10" s="22" t="n">
        <x:f>L9+K10</x:f>
        <x:v>-515162004.3830724</x:v>
      </x:c>
      <x:c r="M10" s="22" t="n">
        <x:f>'Annual model'!H15-'Annual model'!G15</x:f>
        <x:v>0</x:v>
      </x:c>
      <x:c r="N10" s="22" t="n">
        <x:f>IF(AND(C10&gt;=1,C10&lt;1+Assumptions!D26),'Annual model'!D17-0,0)</x:f>
        <x:v>31793888.89548517</x:v>
      </x:c>
      <x:c r="O10" s="22" t="n">
        <x:f>IF(AND(C10&gt;=2,C10&lt;2+Assumptions!D26),'Annual model'!E17-'Annual model'!D17,0)</x:f>
        <x:v>80779855.65401429</x:v>
      </x:c>
      <x:c r="P10" s="22" t="n">
        <x:f>IF(AND(C10&gt;=3,C10&lt;3+Assumptions!D26),'Annual model'!F17-'Annual model'!E17,0)</x:f>
        <x:v>129247769.04642288</x:v>
      </x:c>
      <x:c r="Q10" s="22" t="n">
        <x:f>IF(AND(C10&gt;=4,C10&lt;4+Assumptions!D26),'Annual model'!G17-'Annual model'!F17,0)</x:f>
        <x:v>113091797.91562003</x:v>
      </x:c>
      <x:c r="R10" s="22" t="n">
        <x:f>IF(AND(C10&gt;=5,C10&lt;5+Assumptions!D26),'Annual model'!H17-'Annual model'!G17,0)</x:f>
        <x:v>0</x:v>
      </x:c>
      <x:c r="S10" s="32" t="n">
        <x:f>IF(AND(C10&gt;=6,C10&lt;6+Assumptions!D26),'Annual model'!I17-'Annual model'!H17,0)</x:f>
        <x:v>0</x:v>
      </x:c>
      <x:c r="T10" s="32" t="n">
        <x:f>IF(AND(C10&gt;=7,C10&lt;7+Assumptions!D26),'Annual model'!J17-'Annual model'!I17,0)</x:f>
        <x:v>0</x:v>
      </x:c>
      <x:c r="U10" s="32" t="n">
        <x:f>IF(AND(C10&gt;=8,C10&lt;8+Assumptions!D26),'Annual model'!K17-'Annual model'!J17,0)</x:f>
        <x:v>0</x:v>
      </x:c>
      <x:c r="V10" s="32" t="n">
        <x:f>IF(AND(C10&gt;=9,C10&lt;9+Assumptions!D26),'Annual model'!L17-'Annual model'!K17,0)</x:f>
        <x:v>0</x:v>
      </x:c>
      <x:c r="W10" s="32" t="n">
        <x:f>IF(AND(C10&gt;=10,C10&lt;10+Assumptions!D26),'Annual model'!M17-'Annual model'!L17,0)</x:f>
        <x:v>0</x:v>
      </x:c>
    </x:row>
    <x:row r="11">
      <x:c r="A11" s="1"/>
      <x:c r="B11" s="1"/>
      <x:c r="C11" s="1" t="n">
        <x:v>6</x:v>
      </x:c>
      <x:c r="D11" s="21" t="n">
        <x:f>'Annual model'!I8</x:f>
        <x:v>9525</x:v>
      </x:c>
      <x:c r="E11" s="22" t="n">
        <x:f>'Annual model'!I11</x:f>
        <x:v>380110154.7050778</x:v>
      </x:c>
      <x:c r="F11" s="22" t="n">
        <x:f>'Annual model'!I14</x:f>
        <x:v>249423798.2329002</x:v>
      </x:c>
      <x:c r="G11" s="22" t="n">
        <x:f>'Annual model'!I27</x:f>
        <x:v>5000000</x:v>
      </x:c>
      <x:c r="H11" s="22" t="n">
        <x:f>SUM(N11:W11)</x:f>
        <x:v>354913311.5115424</x:v>
      </x:c>
      <x:c r="I11" s="22" t="n">
        <x:f>'Annual model'!I18</x:f>
        <x:v>15000000</x:v>
      </x:c>
      <x:c r="J11" s="22" t="n">
        <x:f>'Annual model'!I28</x:f>
        <x:v>19005507.735253893</x:v>
      </x:c>
      <x:c r="K11" s="22" t="n">
        <x:f>F11+G11-H11-I11-J11-Assumptions!D28*MIN(1,D11/'Annual model'!D22)</x:f>
        <x:v>-139495021.01389608</x:v>
      </x:c>
      <x:c r="L11" s="22" t="n">
        <x:f>L10+K11</x:f>
        <x:v>-654657025.3969685</x:v>
      </x:c>
      <x:c r="M11" s="22" t="n">
        <x:f>'Annual model'!I15-'Annual model'!H15</x:f>
        <x:v>0</x:v>
      </x:c>
      <x:c r="N11" s="22" t="n">
        <x:f>IF(AND(C11&gt;=1,C11&lt;1+Assumptions!D26),'Annual model'!D17-0,0)</x:f>
        <x:v>31793888.89548517</x:v>
      </x:c>
      <x:c r="O11" s="22" t="n">
        <x:f>IF(AND(C11&gt;=2,C11&lt;2+Assumptions!D26),'Annual model'!E17-'Annual model'!D17,0)</x:f>
        <x:v>80779855.65401429</x:v>
      </x:c>
      <x:c r="P11" s="22" t="n">
        <x:f>IF(AND(C11&gt;=3,C11&lt;3+Assumptions!D26),'Annual model'!F17-'Annual model'!E17,0)</x:f>
        <x:v>129247769.04642288</x:v>
      </x:c>
      <x:c r="Q11" s="22" t="n">
        <x:f>IF(AND(C11&gt;=4,C11&lt;4+Assumptions!D26),'Annual model'!G17-'Annual model'!F17,0)</x:f>
        <x:v>113091797.91562003</x:v>
      </x:c>
      <x:c r="R11" s="22" t="n">
        <x:f>IF(AND(C11&gt;=5,C11&lt;5+Assumptions!D26),'Annual model'!H17-'Annual model'!G17,0)</x:f>
        <x:v>0</x:v>
      </x:c>
      <x:c r="S11" s="32" t="n">
        <x:f>IF(AND(C11&gt;=6,C11&lt;6+Assumptions!D26),'Annual model'!I17-'Annual model'!H17,0)</x:f>
        <x:v>0</x:v>
      </x:c>
      <x:c r="T11" s="32" t="n">
        <x:f>IF(AND(C11&gt;=7,C11&lt;7+Assumptions!D26),'Annual model'!J17-'Annual model'!I17,0)</x:f>
        <x:v>0</x:v>
      </x:c>
      <x:c r="U11" s="32" t="n">
        <x:f>IF(AND(C11&gt;=8,C11&lt;8+Assumptions!D26),'Annual model'!K17-'Annual model'!J17,0)</x:f>
        <x:v>0</x:v>
      </x:c>
      <x:c r="V11" s="32" t="n">
        <x:f>IF(AND(C11&gt;=9,C11&lt;9+Assumptions!D26),'Annual model'!L17-'Annual model'!K17,0)</x:f>
        <x:v>0</x:v>
      </x:c>
      <x:c r="W11" s="32" t="n">
        <x:f>IF(AND(C11&gt;=10,C11&lt;10+Assumptions!D26),'Annual model'!M17-'Annual model'!L17,0)</x:f>
        <x:v>0</x:v>
      </x:c>
    </x:row>
    <x:row r="12">
      <x:c r="A12" s="1"/>
      <x:c r="B12" s="1"/>
      <x:c r="C12" s="1" t="n">
        <x:v>7</x:v>
      </x:c>
      <x:c r="D12" s="21" t="n">
        <x:f>'Annual model'!J8</x:f>
        <x:v>9525</x:v>
      </x:c>
      <x:c r="E12" s="22" t="n">
        <x:f>'Annual model'!J11</x:f>
        <x:v>389612908.57270473</x:v>
      </x:c>
      <x:c r="F12" s="22" t="n">
        <x:f>'Annual model'!J14</x:f>
        <x:v>255659393.18872267</x:v>
      </x:c>
      <x:c r="G12" s="22" t="n">
        <x:f>'Annual model'!J27</x:f>
        <x:v>5000000</x:v>
      </x:c>
      <x:c r="H12" s="22" t="n">
        <x:f>SUM(N12:W12)</x:f>
        <x:v>354913311.5115424</x:v>
      </x:c>
      <x:c r="I12" s="22" t="n">
        <x:f>'Annual model'!J18</x:f>
        <x:v>15000000</x:v>
      </x:c>
      <x:c r="J12" s="22" t="n">
        <x:f>'Annual model'!J28</x:f>
        <x:v>19480645.428635236</x:v>
      </x:c>
      <x:c r="K12" s="22" t="n">
        <x:f>F12+G12-H12-I12-J12-Assumptions!D28*MIN(1,D12/'Annual model'!D22)</x:f>
        <x:v>-133734563.75145495</x:v>
      </x:c>
      <x:c r="L12" s="22" t="n">
        <x:f>L11+K12</x:f>
        <x:v>-788391589.1484234</x:v>
      </x:c>
      <x:c r="M12" s="22" t="n">
        <x:f>'Annual model'!J15-'Annual model'!I15</x:f>
        <x:v>0</x:v>
      </x:c>
      <x:c r="N12" s="22" t="n">
        <x:f>IF(AND(C12&gt;=1,C12&lt;1+Assumptions!D26),'Annual model'!D17-0,0)</x:f>
        <x:v>31793888.89548517</x:v>
      </x:c>
      <x:c r="O12" s="22" t="n">
        <x:f>IF(AND(C12&gt;=2,C12&lt;2+Assumptions!D26),'Annual model'!E17-'Annual model'!D17,0)</x:f>
        <x:v>80779855.65401429</x:v>
      </x:c>
      <x:c r="P12" s="22" t="n">
        <x:f>IF(AND(C12&gt;=3,C12&lt;3+Assumptions!D26),'Annual model'!F17-'Annual model'!E17,0)</x:f>
        <x:v>129247769.04642288</x:v>
      </x:c>
      <x:c r="Q12" s="22" t="n">
        <x:f>IF(AND(C12&gt;=4,C12&lt;4+Assumptions!D26),'Annual model'!G17-'Annual model'!F17,0)</x:f>
        <x:v>113091797.91562003</x:v>
      </x:c>
      <x:c r="R12" s="22" t="n">
        <x:f>IF(AND(C12&gt;=5,C12&lt;5+Assumptions!D26),'Annual model'!H17-'Annual model'!G17,0)</x:f>
        <x:v>0</x:v>
      </x:c>
      <x:c r="S12" s="32" t="n">
        <x:f>IF(AND(C12&gt;=6,C12&lt;6+Assumptions!D26),'Annual model'!I17-'Annual model'!H17,0)</x:f>
        <x:v>0</x:v>
      </x:c>
      <x:c r="T12" s="32" t="n">
        <x:f>IF(AND(C12&gt;=7,C12&lt;7+Assumptions!D26),'Annual model'!J17-'Annual model'!I17,0)</x:f>
        <x:v>0</x:v>
      </x:c>
      <x:c r="U12" s="32" t="n">
        <x:f>IF(AND(C12&gt;=8,C12&lt;8+Assumptions!D26),'Annual model'!K17-'Annual model'!J17,0)</x:f>
        <x:v>0</x:v>
      </x:c>
      <x:c r="V12" s="32" t="n">
        <x:f>IF(AND(C12&gt;=9,C12&lt;9+Assumptions!D26),'Annual model'!L17-'Annual model'!K17,0)</x:f>
        <x:v>0</x:v>
      </x:c>
      <x:c r="W12" s="32" t="n">
        <x:f>IF(AND(C12&gt;=10,C12&lt;10+Assumptions!D26),'Annual model'!M17-'Annual model'!L17,0)</x:f>
        <x:v>0</x:v>
      </x:c>
    </x:row>
    <x:row r="13">
      <x:c r="A13" s="1"/>
      <x:c r="B13" s="1"/>
      <x:c r="C13" s="1" t="n">
        <x:v>8</x:v>
      </x:c>
      <x:c r="D13" s="21" t="n">
        <x:f>'Annual model'!K8</x:f>
        <x:v>9525</x:v>
      </x:c>
      <x:c r="E13" s="22" t="n">
        <x:f>'Annual model'!K11</x:f>
        <x:v>399353231.2870224</x:v>
      </x:c>
      <x:c r="F13" s="22" t="n">
        <x:f>'Annual model'!K14</x:f>
        <x:v>262050878.01844078</x:v>
      </x:c>
      <x:c r="G13" s="22" t="n">
        <x:f>'Annual model'!K27</x:f>
        <x:v>5000000</x:v>
      </x:c>
      <x:c r="H13" s="22" t="n">
        <x:f>SUM(N13:W13)</x:f>
        <x:v>354913311.5115424</x:v>
      </x:c>
      <x:c r="I13" s="22" t="n">
        <x:f>'Annual model'!K18</x:f>
        <x:v>15000000</x:v>
      </x:c>
      <x:c r="J13" s="22" t="n">
        <x:f>'Annual model'!K28</x:f>
        <x:v>19967661.564351123</x:v>
      </x:c>
      <x:c r="K13" s="22" t="n">
        <x:f>F13+G13-H13-I13-J13-Assumptions!D28*MIN(1,D13/'Annual model'!D22)</x:f>
        <x:v>-127830095.05745272</x:v>
      </x:c>
      <x:c r="L13" s="22" t="n">
        <x:f>L12+K13</x:f>
        <x:v>-916221684.2058761</x:v>
      </x:c>
      <x:c r="M13" s="22" t="n">
        <x:f>'Annual model'!K15-'Annual model'!J15</x:f>
        <x:v>0</x:v>
      </x:c>
      <x:c r="N13" s="22" t="n">
        <x:f>IF(AND(C13&gt;=1,C13&lt;1+Assumptions!D26),'Annual model'!D17-0,0)</x:f>
        <x:v>31793888.89548517</x:v>
      </x:c>
      <x:c r="O13" s="22" t="n">
        <x:f>IF(AND(C13&gt;=2,C13&lt;2+Assumptions!D26),'Annual model'!E17-'Annual model'!D17,0)</x:f>
        <x:v>80779855.65401429</x:v>
      </x:c>
      <x:c r="P13" s="22" t="n">
        <x:f>IF(AND(C13&gt;=3,C13&lt;3+Assumptions!D26),'Annual model'!F17-'Annual model'!E17,0)</x:f>
        <x:v>129247769.04642288</x:v>
      </x:c>
      <x:c r="Q13" s="22" t="n">
        <x:f>IF(AND(C13&gt;=4,C13&lt;4+Assumptions!D26),'Annual model'!G17-'Annual model'!F17,0)</x:f>
        <x:v>113091797.91562003</x:v>
      </x:c>
      <x:c r="R13" s="22" t="n">
        <x:f>IF(AND(C13&gt;=5,C13&lt;5+Assumptions!D26),'Annual model'!H17-'Annual model'!G17,0)</x:f>
        <x:v>0</x:v>
      </x:c>
      <x:c r="S13" s="32" t="n">
        <x:f>IF(AND(C13&gt;=6,C13&lt;6+Assumptions!D26),'Annual model'!I17-'Annual model'!H17,0)</x:f>
        <x:v>0</x:v>
      </x:c>
      <x:c r="T13" s="32" t="n">
        <x:f>IF(AND(C13&gt;=7,C13&lt;7+Assumptions!D26),'Annual model'!J17-'Annual model'!I17,0)</x:f>
        <x:v>0</x:v>
      </x:c>
      <x:c r="U13" s="32" t="n">
        <x:f>IF(AND(C13&gt;=8,C13&lt;8+Assumptions!D26),'Annual model'!K17-'Annual model'!J17,0)</x:f>
        <x:v>0</x:v>
      </x:c>
      <x:c r="V13" s="32" t="n">
        <x:f>IF(AND(C13&gt;=9,C13&lt;9+Assumptions!D26),'Annual model'!L17-'Annual model'!K17,0)</x:f>
        <x:v>0</x:v>
      </x:c>
      <x:c r="W13" s="32" t="n">
        <x:f>IF(AND(C13&gt;=10,C13&lt;10+Assumptions!D26),'Annual model'!M17-'Annual model'!L17,0)</x:f>
        <x:v>0</x:v>
      </x:c>
    </x:row>
    <x:row r="14">
      <x:c r="A14" s="1"/>
      <x:c r="B14" s="1"/>
      <x:c r="C14" s="1" t="n">
        <x:v>9</x:v>
      </x:c>
      <x:c r="D14" s="21" t="n">
        <x:f>'Annual model'!L8</x:f>
        <x:v>9525</x:v>
      </x:c>
      <x:c r="E14" s="22" t="n">
        <x:f>'Annual model'!L11</x:f>
        <x:v>409337062.06919783</x:v>
      </x:c>
      <x:c r="F14" s="22" t="n">
        <x:f>'Annual model'!L14</x:f>
        <x:v>268602149.9689017</x:v>
      </x:c>
      <x:c r="G14" s="22" t="n">
        <x:f>'Annual model'!L27</x:f>
        <x:v>5000000</x:v>
      </x:c>
      <x:c r="H14" s="22" t="n">
        <x:f>SUM(N14:W14)</x:f>
        <x:v>354913311.5115424</x:v>
      </x:c>
      <x:c r="I14" s="22" t="n">
        <x:f>'Annual model'!L18</x:f>
        <x:v>15000000</x:v>
      </x:c>
      <x:c r="J14" s="22" t="n">
        <x:f>'Annual model'!L28</x:f>
        <x:v>20466853.103459895</x:v>
      </x:c>
      <x:c r="K14" s="22" t="n">
        <x:f>F14+G14-H14-I14-J14-Assumptions!D28*MIN(1,D14/'Annual model'!D22)</x:f>
        <x:v>-121778014.64610058</x:v>
      </x:c>
      <x:c r="L14" s="22" t="n">
        <x:f>L13+K14</x:f>
        <x:v>-1037999698.8519766</x:v>
      </x:c>
      <x:c r="M14" s="22" t="n">
        <x:f>'Annual model'!L15-'Annual model'!K15</x:f>
        <x:v>0</x:v>
      </x:c>
      <x:c r="N14" s="22" t="n">
        <x:f>IF(AND(C14&gt;=1,C14&lt;1+Assumptions!D26),'Annual model'!D17-0,0)</x:f>
        <x:v>31793888.89548517</x:v>
      </x:c>
      <x:c r="O14" s="22" t="n">
        <x:f>IF(AND(C14&gt;=2,C14&lt;2+Assumptions!D26),'Annual model'!E17-'Annual model'!D17,0)</x:f>
        <x:v>80779855.65401429</x:v>
      </x:c>
      <x:c r="P14" s="22" t="n">
        <x:f>IF(AND(C14&gt;=3,C14&lt;3+Assumptions!D26),'Annual model'!F17-'Annual model'!E17,0)</x:f>
        <x:v>129247769.04642288</x:v>
      </x:c>
      <x:c r="Q14" s="22" t="n">
        <x:f>IF(AND(C14&gt;=4,C14&lt;4+Assumptions!D26),'Annual model'!G17-'Annual model'!F17,0)</x:f>
        <x:v>113091797.91562003</x:v>
      </x:c>
      <x:c r="R14" s="22" t="n">
        <x:f>IF(AND(C14&gt;=5,C14&lt;5+Assumptions!D26),'Annual model'!H17-'Annual model'!G17,0)</x:f>
        <x:v>0</x:v>
      </x:c>
      <x:c r="S14" s="32" t="n">
        <x:f>IF(AND(C14&gt;=6,C14&lt;6+Assumptions!D26),'Annual model'!I17-'Annual model'!H17,0)</x:f>
        <x:v>0</x:v>
      </x:c>
      <x:c r="T14" s="32" t="n">
        <x:f>IF(AND(C14&gt;=7,C14&lt;7+Assumptions!D26),'Annual model'!J17-'Annual model'!I17,0)</x:f>
        <x:v>0</x:v>
      </x:c>
      <x:c r="U14" s="32" t="n">
        <x:f>IF(AND(C14&gt;=8,C14&lt;8+Assumptions!D26),'Annual model'!K17-'Annual model'!J17,0)</x:f>
        <x:v>0</x:v>
      </x:c>
      <x:c r="V14" s="32" t="n">
        <x:f>IF(AND(C14&gt;=9,C14&lt;9+Assumptions!D26),'Annual model'!L17-'Annual model'!K17,0)</x:f>
        <x:v>0</x:v>
      </x:c>
      <x:c r="W14" s="32" t="n">
        <x:f>IF(AND(C14&gt;=10,C14&lt;10+Assumptions!D26),'Annual model'!M17-'Annual model'!L17,0)</x:f>
        <x:v>0</x:v>
      </x:c>
    </x:row>
    <x:row r="15">
      <x:c r="A15" s="1"/>
      <x:c r="B15" s="1"/>
      <x:c r="C15" s="38" t="n">
        <x:v>10</x:v>
      </x:c>
      <x:c r="D15" s="39" t="n">
        <x:f>'Annual model'!M8</x:f>
        <x:v>9525</x:v>
      </x:c>
      <x:c r="E15" s="40" t="n">
        <x:f>'Annual model'!M11</x:f>
        <x:v>419570488.62092775</x:v>
      </x:c>
      <x:c r="F15" s="40" t="n">
        <x:f>'Annual model'!M14</x:f>
        <x:v>275317203.7181243</x:v>
      </x:c>
      <x:c r="G15" s="40" t="n">
        <x:f>'Annual model'!M27</x:f>
        <x:v>5000000</x:v>
      </x:c>
      <x:c r="H15" s="40" t="n">
        <x:f>SUM(N15:W15)</x:f>
        <x:v>354913311.5115424</x:v>
      </x:c>
      <x:c r="I15" s="40" t="n">
        <x:f>'Annual model'!M18</x:f>
        <x:v>15000000</x:v>
      </x:c>
      <x:c r="J15" s="40" t="n">
        <x:f>'Annual model'!M28</x:f>
        <x:v>20978524.43104639</x:v>
      </x:c>
      <x:c r="K15" s="40" t="n">
        <x:f>F15+G15-H15-I15-J15-Assumptions!D28*MIN(1,D15/'Annual model'!D22)</x:f>
        <x:v>-115574632.2244645</x:v>
      </x:c>
      <x:c r="L15" s="40" t="n">
        <x:f>L14+K15</x:f>
        <x:v>-1153574331.076441</x:v>
      </x:c>
      <x:c r="M15" s="40" t="n">
        <x:f>'Annual model'!M15-'Annual model'!L15</x:f>
        <x:v>0</x:v>
      </x:c>
      <x:c r="N15" s="22" t="n">
        <x:f>IF(AND(C15&gt;=1,C15&lt;1+Assumptions!D26),'Annual model'!D17-0,0)</x:f>
        <x:v>31793888.89548517</x:v>
      </x:c>
      <x:c r="O15" s="22" t="n">
        <x:f>IF(AND(C15&gt;=2,C15&lt;2+Assumptions!D26),'Annual model'!E17-'Annual model'!D17,0)</x:f>
        <x:v>80779855.65401429</x:v>
      </x:c>
      <x:c r="P15" s="22" t="n">
        <x:f>IF(AND(C15&gt;=3,C15&lt;3+Assumptions!D26),'Annual model'!F17-'Annual model'!E17,0)</x:f>
        <x:v>129247769.04642288</x:v>
      </x:c>
      <x:c r="Q15" s="22" t="n">
        <x:f>IF(AND(C15&gt;=4,C15&lt;4+Assumptions!D26),'Annual model'!G17-'Annual model'!F17,0)</x:f>
        <x:v>113091797.91562003</x:v>
      </x:c>
      <x:c r="R15" s="22" t="n">
        <x:f>IF(AND(C15&gt;=5,C15&lt;5+Assumptions!D26),'Annual model'!H17-'Annual model'!G17,0)</x:f>
        <x:v>0</x:v>
      </x:c>
      <x:c r="S15" s="32" t="n">
        <x:f>IF(AND(C15&gt;=6,C15&lt;6+Assumptions!D26),'Annual model'!I17-'Annual model'!H17,0)</x:f>
        <x:v>0</x:v>
      </x:c>
      <x:c r="T15" s="32" t="n">
        <x:f>IF(AND(C15&gt;=7,C15&lt;7+Assumptions!D26),'Annual model'!J17-'Annual model'!I17,0)</x:f>
        <x:v>0</x:v>
      </x:c>
      <x:c r="U15" s="32" t="n">
        <x:f>IF(AND(C15&gt;=8,C15&lt;8+Assumptions!D26),'Annual model'!K17-'Annual model'!J17,0)</x:f>
        <x:v>0</x:v>
      </x:c>
      <x:c r="V15" s="32" t="n">
        <x:f>IF(AND(C15&gt;=9,C15&lt;9+Assumptions!D26),'Annual model'!L17-'Annual model'!K17,0)</x:f>
        <x:v>0</x:v>
      </x:c>
      <x:c r="W15" s="32" t="n">
        <x:f>IF(AND(C15&gt;=10,C15&lt;10+Assumptions!D26),'Annual model'!M17-'Annual model'!L17,0)</x:f>
        <x:v>0</x:v>
      </x:c>
    </x:row>
    <x:row r="16">
      <x:c r="A16" s="1"/>
      <x:c r="B16" s="1"/>
      <x:c r="C16" s="1" t="n">
        <x:v>11</x:v>
      </x:c>
      <x:c r="D16" s="21" t="n">
        <x:f>'Annual model'!D22</x:f>
        <x:v>9525</x:v>
      </x:c>
      <x:c r="E16" s="22" t="n">
        <x:f>'Annual model'!M11*(1+Assumptions!D20)^(11-10)</x:f>
        <x:v>430059750.83645093</x:v>
      </x:c>
      <x:c r="F16" s="22" t="n">
        <x:f>'Annual model'!M14*(1+Assumptions!D20)^(11-10)</x:f>
        <x:v>282200133.81107736</x:v>
      </x:c>
      <x:c r="G16" s="22" t="n">
        <x:f>Assumptions!H7</x:f>
        <x:v>5000000</x:v>
      </x:c>
      <x:c r="H16" s="22" t="n">
        <x:f>SUM(N16:W16)</x:f>
        <x:v>354913311.5115424</x:v>
      </x:c>
      <x:c r="I16" s="22" t="n">
        <x:f>'Annual model'!M18*(1+Assumptions!H9)^(11-10)</x:f>
        <x:v>15374999.999999998</x:v>
      </x:c>
      <x:c r="J16" s="22" t="n">
        <x:f>E16*Assumptions!H8</x:f>
        <x:v>21502987.54182255</x:v>
      </x:c>
      <x:c r="K16" s="22" t="n">
        <x:f>F16+G16-H16-I16-J16-Assumptions!D28*MIN(1,D16/'Annual model'!D22)</x:f>
        <x:v>-109591165.24228758</x:v>
      </x:c>
      <x:c r="L16" s="22" t="n">
        <x:f>L15+K16</x:f>
        <x:v>-1263165496.3187287</x:v>
      </x:c>
      <x:c r="M16" s="22" t="n">
        <x:v>0</x:v>
      </x:c>
      <x:c r="N16" s="22" t="n">
        <x:f>IF(AND(C16&gt;=1,C16&lt;1+Assumptions!D26),'Annual model'!D17-0,0)</x:f>
        <x:v>31793888.89548517</x:v>
      </x:c>
      <x:c r="O16" s="22" t="n">
        <x:f>IF(AND(C16&gt;=2,C16&lt;2+Assumptions!D26),'Annual model'!E17-'Annual model'!D17,0)</x:f>
        <x:v>80779855.65401429</x:v>
      </x:c>
      <x:c r="P16" s="22" t="n">
        <x:f>IF(AND(C16&gt;=3,C16&lt;3+Assumptions!D26),'Annual model'!F17-'Annual model'!E17,0)</x:f>
        <x:v>129247769.04642288</x:v>
      </x:c>
      <x:c r="Q16" s="22" t="n">
        <x:f>IF(AND(C16&gt;=4,C16&lt;4+Assumptions!D26),'Annual model'!G17-'Annual model'!F17,0)</x:f>
        <x:v>113091797.91562003</x:v>
      </x:c>
      <x:c r="R16" s="22" t="n">
        <x:f>IF(AND(C16&gt;=5,C16&lt;5+Assumptions!D26),'Annual model'!H17-'Annual model'!G17,0)</x:f>
        <x:v>0</x:v>
      </x:c>
      <x:c r="S16" s="32" t="n">
        <x:f>IF(AND(C16&gt;=6,C16&lt;6+Assumptions!D26),'Annual model'!I17-'Annual model'!H17,0)</x:f>
        <x:v>0</x:v>
      </x:c>
      <x:c r="T16" s="32" t="n">
        <x:f>IF(AND(C16&gt;=7,C16&lt;7+Assumptions!D26),'Annual model'!J17-'Annual model'!I17,0)</x:f>
        <x:v>0</x:v>
      </x:c>
      <x:c r="U16" s="32" t="n">
        <x:f>IF(AND(C16&gt;=8,C16&lt;8+Assumptions!D26),'Annual model'!K17-'Annual model'!J17,0)</x:f>
        <x:v>0</x:v>
      </x:c>
      <x:c r="V16" s="32" t="n">
        <x:f>IF(AND(C16&gt;=9,C16&lt;9+Assumptions!D26),'Annual model'!L17-'Annual model'!K17,0)</x:f>
        <x:v>0</x:v>
      </x:c>
      <x:c r="W16" s="32" t="n">
        <x:f>IF(AND(C16&gt;=10,C16&lt;10+Assumptions!D26),'Annual model'!M17-'Annual model'!L17,0)</x:f>
        <x:v>0</x:v>
      </x:c>
    </x:row>
    <x:row r="17">
      <x:c r="A17" s="1"/>
      <x:c r="B17" s="1"/>
      <x:c r="C17" s="1" t="n">
        <x:v>12</x:v>
      </x:c>
      <x:c r="D17" s="21" t="n">
        <x:f>'Annual model'!D22</x:f>
        <x:v>9525</x:v>
      </x:c>
      <x:c r="E17" s="22" t="n">
        <x:f>'Annual model'!M11*(1+Assumptions!D20)^(12-10)</x:f>
        <x:v>440811244.6073622</x:v>
      </x:c>
      <x:c r="F17" s="22" t="n">
        <x:f>'Annual model'!M14*(1+Assumptions!D20)^(12-10)</x:f>
        <x:v>289255137.1563543</x:v>
      </x:c>
      <x:c r="G17" s="22" t="n">
        <x:f>Assumptions!H7</x:f>
        <x:v>5000000</x:v>
      </x:c>
      <x:c r="H17" s="22" t="n">
        <x:f>SUM(N17:W17)</x:f>
        <x:v>354913311.5115424</x:v>
      </x:c>
      <x:c r="I17" s="22" t="n">
        <x:f>'Annual model'!M18*(1+Assumptions!H9)^(12-10)</x:f>
        <x:v>15759374.999999998</x:v>
      </x:c>
      <x:c r="J17" s="22" t="n">
        <x:f>E17*Assumptions!H8</x:f>
        <x:v>22040562.23036811</x:v>
      </x:c>
      <x:c r="K17" s="22" t="n">
        <x:f>F17+G17-H17-I17-J17-Assumptions!D28*MIN(1,D17/'Annual model'!D22)</x:f>
        <x:v>-103458111.58555618</x:v>
      </x:c>
      <x:c r="L17" s="22" t="n">
        <x:f>L16+K17</x:f>
        <x:v>-1366623607.904285</x:v>
      </x:c>
      <x:c r="M17" s="22" t="n">
        <x:v>0</x:v>
      </x:c>
      <x:c r="N17" s="22" t="n">
        <x:f>IF(AND(C17&gt;=1,C17&lt;1+Assumptions!D26),'Annual model'!D17-0,0)</x:f>
        <x:v>31793888.89548517</x:v>
      </x:c>
      <x:c r="O17" s="22" t="n">
        <x:f>IF(AND(C17&gt;=2,C17&lt;2+Assumptions!D26),'Annual model'!E17-'Annual model'!D17,0)</x:f>
        <x:v>80779855.65401429</x:v>
      </x:c>
      <x:c r="P17" s="22" t="n">
        <x:f>IF(AND(C17&gt;=3,C17&lt;3+Assumptions!D26),'Annual model'!F17-'Annual model'!E17,0)</x:f>
        <x:v>129247769.04642288</x:v>
      </x:c>
      <x:c r="Q17" s="22" t="n">
        <x:f>IF(AND(C17&gt;=4,C17&lt;4+Assumptions!D26),'Annual model'!G17-'Annual model'!F17,0)</x:f>
        <x:v>113091797.91562003</x:v>
      </x:c>
      <x:c r="R17" s="22" t="n">
        <x:f>IF(AND(C17&gt;=5,C17&lt;5+Assumptions!D26),'Annual model'!H17-'Annual model'!G17,0)</x:f>
        <x:v>0</x:v>
      </x:c>
      <x:c r="S17" s="32" t="n">
        <x:f>IF(AND(C17&gt;=6,C17&lt;6+Assumptions!D26),'Annual model'!I17-'Annual model'!H17,0)</x:f>
        <x:v>0</x:v>
      </x:c>
      <x:c r="T17" s="32" t="n">
        <x:f>IF(AND(C17&gt;=7,C17&lt;7+Assumptions!D26),'Annual model'!J17-'Annual model'!I17,0)</x:f>
        <x:v>0</x:v>
      </x:c>
      <x:c r="U17" s="32" t="n">
        <x:f>IF(AND(C17&gt;=8,C17&lt;8+Assumptions!D26),'Annual model'!K17-'Annual model'!J17,0)</x:f>
        <x:v>0</x:v>
      </x:c>
      <x:c r="V17" s="32" t="n">
        <x:f>IF(AND(C17&gt;=9,C17&lt;9+Assumptions!D26),'Annual model'!L17-'Annual model'!K17,0)</x:f>
        <x:v>0</x:v>
      </x:c>
      <x:c r="W17" s="32" t="n">
        <x:f>IF(AND(C17&gt;=10,C17&lt;10+Assumptions!D26),'Annual model'!M17-'Annual model'!L17,0)</x:f>
        <x:v>0</x:v>
      </x:c>
    </x:row>
    <x:row r="18">
      <x:c r="A18" s="1"/>
      <x:c r="B18" s="1"/>
      <x:c r="C18" s="1" t="n">
        <x:v>13</x:v>
      </x:c>
      <x:c r="D18" s="21" t="n">
        <x:f>'Annual model'!D22</x:f>
        <x:v>9525</x:v>
      </x:c>
      <x:c r="E18" s="22" t="n">
        <x:f>'Annual model'!M11*(1+Assumptions!D20)^(13-10)</x:f>
        <x:v>451831525.7225461</x:v>
      </x:c>
      <x:c r="F18" s="22" t="n">
        <x:f>'Annual model'!M14*(1+Assumptions!D20)^(13-10)</x:f>
        <x:v>296486515.5852631</x:v>
      </x:c>
      <x:c r="G18" s="22" t="n">
        <x:f>Assumptions!H7</x:f>
        <x:v>5000000</x:v>
      </x:c>
      <x:c r="H18" s="22" t="n">
        <x:f>SUM(N18:W18)</x:f>
        <x:v>354913311.5115424</x:v>
      </x:c>
      <x:c r="I18" s="22" t="n">
        <x:f>'Annual model'!M18*(1+Assumptions!H9)^(13-10)</x:f>
        <x:v>16153359.374999994</x:v>
      </x:c>
      <x:c r="J18" s="22" t="n">
        <x:f>E18*Assumptions!H8</x:f>
        <x:v>22591576.286127307</x:v>
      </x:c>
      <x:c r="K18" s="22" t="n">
        <x:f>F18+G18-H18-I18-J18-Assumptions!D28*MIN(1,D18/'Annual model'!D22)</x:f>
        <x:v>-97171731.5874066</x:v>
      </x:c>
      <x:c r="L18" s="22" t="n">
        <x:f>L17+K18</x:f>
        <x:v>-1463795339.4916916</x:v>
      </x:c>
      <x:c r="M18" s="22" t="n">
        <x:v>0</x:v>
      </x:c>
      <x:c r="N18" s="22" t="n">
        <x:f>IF(AND(C18&gt;=1,C18&lt;1+Assumptions!D26),'Annual model'!D17-0,0)</x:f>
        <x:v>31793888.89548517</x:v>
      </x:c>
      <x:c r="O18" s="22" t="n">
        <x:f>IF(AND(C18&gt;=2,C18&lt;2+Assumptions!D26),'Annual model'!E17-'Annual model'!D17,0)</x:f>
        <x:v>80779855.65401429</x:v>
      </x:c>
      <x:c r="P18" s="22" t="n">
        <x:f>IF(AND(C18&gt;=3,C18&lt;3+Assumptions!D26),'Annual model'!F17-'Annual model'!E17,0)</x:f>
        <x:v>129247769.04642288</x:v>
      </x:c>
      <x:c r="Q18" s="22" t="n">
        <x:f>IF(AND(C18&gt;=4,C18&lt;4+Assumptions!D26),'Annual model'!G17-'Annual model'!F17,0)</x:f>
        <x:v>113091797.91562003</x:v>
      </x:c>
      <x:c r="R18" s="22" t="n">
        <x:f>IF(AND(C18&gt;=5,C18&lt;5+Assumptions!D26),'Annual model'!H17-'Annual model'!G17,0)</x:f>
        <x:v>0</x:v>
      </x:c>
      <x:c r="S18" s="32" t="n">
        <x:f>IF(AND(C18&gt;=6,C18&lt;6+Assumptions!D26),'Annual model'!I17-'Annual model'!H17,0)</x:f>
        <x:v>0</x:v>
      </x:c>
      <x:c r="T18" s="32" t="n">
        <x:f>IF(AND(C18&gt;=7,C18&lt;7+Assumptions!D26),'Annual model'!J17-'Annual model'!I17,0)</x:f>
        <x:v>0</x:v>
      </x:c>
      <x:c r="U18" s="32" t="n">
        <x:f>IF(AND(C18&gt;=8,C18&lt;8+Assumptions!D26),'Annual model'!K17-'Annual model'!J17,0)</x:f>
        <x:v>0</x:v>
      </x:c>
      <x:c r="V18" s="32" t="n">
        <x:f>IF(AND(C18&gt;=9,C18&lt;9+Assumptions!D26),'Annual model'!L17-'Annual model'!K17,0)</x:f>
        <x:v>0</x:v>
      </x:c>
      <x:c r="W18" s="32" t="n">
        <x:f>IF(AND(C18&gt;=10,C18&lt;10+Assumptions!D26),'Annual model'!M17-'Annual model'!L17,0)</x:f>
        <x:v>0</x:v>
      </x:c>
    </x:row>
    <x:row r="19">
      <x:c r="A19" s="1"/>
      <x:c r="B19" s="1"/>
      <x:c r="C19" s="1" t="n">
        <x:v>14</x:v>
      </x:c>
      <x:c r="D19" s="21" t="n">
        <x:f>'Annual model'!D22</x:f>
        <x:v>9525</x:v>
      </x:c>
      <x:c r="E19" s="22" t="n">
        <x:f>'Annual model'!M11*(1+Assumptions!D20)^(14-10)</x:f>
        <x:v>463127313.86560977</x:v>
      </x:c>
      <x:c r="F19" s="22" t="n">
        <x:f>'Annual model'!M14*(1+Assumptions!D20)^(14-10)</x:f>
        <x:v>303898678.47489464</x:v>
      </x:c>
      <x:c r="G19" s="22" t="n">
        <x:f>Assumptions!H7</x:f>
        <x:v>5000000</x:v>
      </x:c>
      <x:c r="H19" s="22" t="n">
        <x:f>SUM(N19:W19)</x:f>
        <x:v>354913311.5115424</x:v>
      </x:c>
      <x:c r="I19" s="22" t="n">
        <x:f>'Annual model'!M18*(1+Assumptions!H9)^(14-10)</x:f>
        <x:v>16557193.359374993</x:v>
      </x:c>
      <x:c r="J19" s="22" t="n">
        <x:f>E19*Assumptions!H8</x:f>
        <x:v>23156365.69328049</x:v>
      </x:c>
      <x:c r="K19" s="22" t="n">
        <x:f>F19+G19-H19-I19-J19-Assumptions!D28*MIN(1,D19/'Annual model'!D22)</x:f>
        <x:v>-90728192.08930323</x:v>
      </x:c>
      <x:c r="L19" s="22" t="n">
        <x:f>L18+K19</x:f>
        <x:v>-1554523531.5809948</x:v>
      </x:c>
      <x:c r="M19" s="22" t="n">
        <x:v>0</x:v>
      </x:c>
      <x:c r="N19" s="22" t="n">
        <x:f>IF(AND(C19&gt;=1,C19&lt;1+Assumptions!D26),'Annual model'!D17-0,0)</x:f>
        <x:v>31793888.89548517</x:v>
      </x:c>
      <x:c r="O19" s="22" t="n">
        <x:f>IF(AND(C19&gt;=2,C19&lt;2+Assumptions!D26),'Annual model'!E17-'Annual model'!D17,0)</x:f>
        <x:v>80779855.65401429</x:v>
      </x:c>
      <x:c r="P19" s="22" t="n">
        <x:f>IF(AND(C19&gt;=3,C19&lt;3+Assumptions!D26),'Annual model'!F17-'Annual model'!E17,0)</x:f>
        <x:v>129247769.04642288</x:v>
      </x:c>
      <x:c r="Q19" s="22" t="n">
        <x:f>IF(AND(C19&gt;=4,C19&lt;4+Assumptions!D26),'Annual model'!G17-'Annual model'!F17,0)</x:f>
        <x:v>113091797.91562003</x:v>
      </x:c>
      <x:c r="R19" s="22" t="n">
        <x:f>IF(AND(C19&gt;=5,C19&lt;5+Assumptions!D26),'Annual model'!H17-'Annual model'!G17,0)</x:f>
        <x:v>0</x:v>
      </x:c>
      <x:c r="S19" s="32" t="n">
        <x:f>IF(AND(C19&gt;=6,C19&lt;6+Assumptions!D26),'Annual model'!I17-'Annual model'!H17,0)</x:f>
        <x:v>0</x:v>
      </x:c>
      <x:c r="T19" s="32" t="n">
        <x:f>IF(AND(C19&gt;=7,C19&lt;7+Assumptions!D26),'Annual model'!J17-'Annual model'!I17,0)</x:f>
        <x:v>0</x:v>
      </x:c>
      <x:c r="U19" s="32" t="n">
        <x:f>IF(AND(C19&gt;=8,C19&lt;8+Assumptions!D26),'Annual model'!K17-'Annual model'!J17,0)</x:f>
        <x:v>0</x:v>
      </x:c>
      <x:c r="V19" s="32" t="n">
        <x:f>IF(AND(C19&gt;=9,C19&lt;9+Assumptions!D26),'Annual model'!L17-'Annual model'!K17,0)</x:f>
        <x:v>0</x:v>
      </x:c>
      <x:c r="W19" s="32" t="n">
        <x:f>IF(AND(C19&gt;=10,C19&lt;10+Assumptions!D26),'Annual model'!M17-'Annual model'!L17,0)</x:f>
        <x:v>0</x:v>
      </x:c>
    </x:row>
    <x:row r="20">
      <x:c r="A20" s="1"/>
      <x:c r="B20" s="1"/>
      <x:c r="C20" s="1" t="n">
        <x:v>15</x:v>
      </x:c>
      <x:c r="D20" s="21" t="n">
        <x:f>'Annual model'!D22</x:f>
        <x:v>9525</x:v>
      </x:c>
      <x:c r="E20" s="22" t="n">
        <x:f>'Annual model'!M11*(1+Assumptions!D20)^(15-10)</x:f>
        <x:v>474705496.71224993</x:v>
      </x:c>
      <x:c r="F20" s="22" t="n">
        <x:f>'Annual model'!M14*(1+Assumptions!D20)^(15-10)</x:f>
        <x:v>311496145.436767</x:v>
      </x:c>
      <x:c r="G20" s="22" t="n">
        <x:f>Assumptions!H7</x:f>
        <x:v>5000000</x:v>
      </x:c>
      <x:c r="H20" s="22" t="n">
        <x:f>SUM(N20:W20)</x:f>
        <x:v>354913311.5115424</x:v>
      </x:c>
      <x:c r="I20" s="22" t="n">
        <x:f>'Annual model'!M18*(1+Assumptions!H9)^(15-10)</x:f>
        <x:v>16971123.193359368</x:v>
      </x:c>
      <x:c r="J20" s="22" t="n">
        <x:f>E20*Assumptions!H8</x:f>
        <x:v>23735274.8356125</x:v>
      </x:c>
      <x:c r="K20" s="22" t="n">
        <x:f>F20+G20-H20-I20-J20-Assumptions!D28*MIN(1,D20/'Annual model'!D22)</x:f>
        <x:v>-84123564.10374726</x:v>
      </x:c>
      <x:c r="L20" s="22" t="n">
        <x:f>L19+K20</x:f>
        <x:v>-1638647095.6847422</x:v>
      </x:c>
      <x:c r="M20" s="22" t="n">
        <x:v>0</x:v>
      </x:c>
      <x:c r="N20" s="22" t="n">
        <x:f>IF(AND(C20&gt;=1,C20&lt;1+Assumptions!D26),'Annual model'!D17-0,0)</x:f>
        <x:v>31793888.89548517</x:v>
      </x:c>
      <x:c r="O20" s="22" t="n">
        <x:f>IF(AND(C20&gt;=2,C20&lt;2+Assumptions!D26),'Annual model'!E17-'Annual model'!D17,0)</x:f>
        <x:v>80779855.65401429</x:v>
      </x:c>
      <x:c r="P20" s="22" t="n">
        <x:f>IF(AND(C20&gt;=3,C20&lt;3+Assumptions!D26),'Annual model'!F17-'Annual model'!E17,0)</x:f>
        <x:v>129247769.04642288</x:v>
      </x:c>
      <x:c r="Q20" s="22" t="n">
        <x:f>IF(AND(C20&gt;=4,C20&lt;4+Assumptions!D26),'Annual model'!G17-'Annual model'!F17,0)</x:f>
        <x:v>113091797.91562003</x:v>
      </x:c>
      <x:c r="R20" s="22" t="n">
        <x:f>IF(AND(C20&gt;=5,C20&lt;5+Assumptions!D26),'Annual model'!H17-'Annual model'!G17,0)</x:f>
        <x:v>0</x:v>
      </x:c>
      <x:c r="S20" s="32" t="n">
        <x:f>IF(AND(C20&gt;=6,C20&lt;6+Assumptions!D26),'Annual model'!I17-'Annual model'!H17,0)</x:f>
        <x:v>0</x:v>
      </x:c>
      <x:c r="T20" s="32" t="n">
        <x:f>IF(AND(C20&gt;=7,C20&lt;7+Assumptions!D26),'Annual model'!J17-'Annual model'!I17,0)</x:f>
        <x:v>0</x:v>
      </x:c>
      <x:c r="U20" s="32" t="n">
        <x:f>IF(AND(C20&gt;=8,C20&lt;8+Assumptions!D26),'Annual model'!K17-'Annual model'!J17,0)</x:f>
        <x:v>0</x:v>
      </x:c>
      <x:c r="V20" s="32" t="n">
        <x:f>IF(AND(C20&gt;=9,C20&lt;9+Assumptions!D26),'Annual model'!L17-'Annual model'!K17,0)</x:f>
        <x:v>0</x:v>
      </x:c>
      <x:c r="W20" s="32" t="n">
        <x:f>IF(AND(C20&gt;=10,C20&lt;10+Assumptions!D26),'Annual model'!M17-'Annual model'!L17,0)</x:f>
        <x:v>0</x:v>
      </x:c>
    </x:row>
    <x:row r="21">
      <x:c r="A21" s="1"/>
      <x:c r="B21" s="1"/>
      <x:c r="C21" s="1" t="n">
        <x:v>16</x:v>
      </x:c>
      <x:c r="D21" s="21" t="n">
        <x:f>'Annual model'!D22</x:f>
        <x:v>9525</x:v>
      </x:c>
      <x:c r="E21" s="22" t="n">
        <x:f>'Annual model'!M11*(1+Assumptions!D20)^(16-10)</x:f>
        <x:v>486573134.13005614</x:v>
      </x:c>
      <x:c r="F21" s="22" t="n">
        <x:f>'Annual model'!M14*(1+Assumptions!D20)^(16-10)</x:f>
        <x:v>319283549.07268614</x:v>
      </x:c>
      <x:c r="G21" s="22" t="n">
        <x:f>Assumptions!H7</x:f>
        <x:v>5000000</x:v>
      </x:c>
      <x:c r="H21" s="22" t="n">
        <x:f>SUM(N21:W21)</x:f>
        <x:v>354913311.5115424</x:v>
      </x:c>
      <x:c r="I21" s="22" t="n">
        <x:f>'Annual model'!M18*(1+Assumptions!H9)^(16-10)</x:f>
        <x:v>17395401.27319335</x:v>
      </x:c>
      <x:c r="J21" s="22" t="n">
        <x:f>E21*Assumptions!H8</x:f>
        <x:v>24328656.70650281</x:v>
      </x:c>
      <x:c r="K21" s="22" t="n">
        <x:f>F21+G21-H21-I21-J21-Assumptions!D28*MIN(1,D21/'Annual model'!D22)</x:f>
        <x:v>-77353820.4185524</x:v>
      </x:c>
      <x:c r="L21" s="22" t="n">
        <x:f>L20+K21</x:f>
        <x:v>-1716000916.1032946</x:v>
      </x:c>
      <x:c r="M21" s="22" t="n">
        <x:v>0</x:v>
      </x:c>
      <x:c r="N21" s="22" t="n">
        <x:f>IF(AND(C21&gt;=1,C21&lt;1+Assumptions!D26),'Annual model'!D17-0,0)</x:f>
        <x:v>31793888.89548517</x:v>
      </x:c>
      <x:c r="O21" s="22" t="n">
        <x:f>IF(AND(C21&gt;=2,C21&lt;2+Assumptions!D26),'Annual model'!E17-'Annual model'!D17,0)</x:f>
        <x:v>80779855.65401429</x:v>
      </x:c>
      <x:c r="P21" s="22" t="n">
        <x:f>IF(AND(C21&gt;=3,C21&lt;3+Assumptions!D26),'Annual model'!F17-'Annual model'!E17,0)</x:f>
        <x:v>129247769.04642288</x:v>
      </x:c>
      <x:c r="Q21" s="22" t="n">
        <x:f>IF(AND(C21&gt;=4,C21&lt;4+Assumptions!D26),'Annual model'!G17-'Annual model'!F17,0)</x:f>
        <x:v>113091797.91562003</x:v>
      </x:c>
      <x:c r="R21" s="22" t="n">
        <x:f>IF(AND(C21&gt;=5,C21&lt;5+Assumptions!D26),'Annual model'!H17-'Annual model'!G17,0)</x:f>
        <x:v>0</x:v>
      </x:c>
      <x:c r="S21" s="32" t="n">
        <x:f>IF(AND(C21&gt;=6,C21&lt;6+Assumptions!D26),'Annual model'!I17-'Annual model'!H17,0)</x:f>
        <x:v>0</x:v>
      </x:c>
      <x:c r="T21" s="32" t="n">
        <x:f>IF(AND(C21&gt;=7,C21&lt;7+Assumptions!D26),'Annual model'!J17-'Annual model'!I17,0)</x:f>
        <x:v>0</x:v>
      </x:c>
      <x:c r="U21" s="32" t="n">
        <x:f>IF(AND(C21&gt;=8,C21&lt;8+Assumptions!D26),'Annual model'!K17-'Annual model'!J17,0)</x:f>
        <x:v>0</x:v>
      </x:c>
      <x:c r="V21" s="32" t="n">
        <x:f>IF(AND(C21&gt;=9,C21&lt;9+Assumptions!D26),'Annual model'!L17-'Annual model'!K17,0)</x:f>
        <x:v>0</x:v>
      </x:c>
      <x:c r="W21" s="32" t="n">
        <x:f>IF(AND(C21&gt;=10,C21&lt;10+Assumptions!D26),'Annual model'!M17-'Annual model'!L17,0)</x:f>
        <x:v>0</x:v>
      </x:c>
    </x:row>
    <x:row r="22">
      <x:c r="A22" s="1"/>
      <x:c r="B22" s="1"/>
      <x:c r="C22" s="1" t="n">
        <x:v>17</x:v>
      </x:c>
      <x:c r="D22" s="21" t="n">
        <x:f>'Annual model'!D22</x:f>
        <x:v>9525</x:v>
      </x:c>
      <x:c r="E22" s="22" t="n">
        <x:f>'Annual model'!M11*(1+Assumptions!D20)^(17-10)</x:f>
        <x:v>498737462.4833076</x:v>
      </x:c>
      <x:c r="F22" s="22" t="n">
        <x:f>'Annual model'!M14*(1+Assumptions!D20)^(17-10)</x:f>
        <x:v>327265637.79950327</x:v>
      </x:c>
      <x:c r="G22" s="22" t="n">
        <x:f>Assumptions!H7</x:f>
        <x:v>5000000</x:v>
      </x:c>
      <x:c r="H22" s="22" t="n">
        <x:f>SUM(N22:W22)</x:f>
        <x:v>354913311.5115424</x:v>
      </x:c>
      <x:c r="I22" s="22" t="n">
        <x:f>'Annual model'!M18*(1+Assumptions!H9)^(17-10)</x:f>
        <x:v>17830286.305023186</x:v>
      </x:c>
      <x:c r="J22" s="22" t="n">
        <x:f>E22*Assumptions!H8</x:f>
        <x:v>24936873.124165382</x:v>
      </x:c>
      <x:c r="K22" s="22" t="n">
        <x:f>F22+G22-H22-I22-J22-Assumptions!D28*MIN(1,D22/'Annual model'!D22)</x:f>
        <x:v>-70414833.14122768</x:v>
      </x:c>
      <x:c r="L22" s="22" t="n">
        <x:f>L21+K22</x:f>
        <x:v>-1786415749.2445223</x:v>
      </x:c>
      <x:c r="M22" s="22" t="n">
        <x:v>0</x:v>
      </x:c>
      <x:c r="N22" s="22" t="n">
        <x:f>IF(AND(C22&gt;=1,C22&lt;1+Assumptions!D26),'Annual model'!D17-0,0)</x:f>
        <x:v>31793888.89548517</x:v>
      </x:c>
      <x:c r="O22" s="22" t="n">
        <x:f>IF(AND(C22&gt;=2,C22&lt;2+Assumptions!D26),'Annual model'!E17-'Annual model'!D17,0)</x:f>
        <x:v>80779855.65401429</x:v>
      </x:c>
      <x:c r="P22" s="22" t="n">
        <x:f>IF(AND(C22&gt;=3,C22&lt;3+Assumptions!D26),'Annual model'!F17-'Annual model'!E17,0)</x:f>
        <x:v>129247769.04642288</x:v>
      </x:c>
      <x:c r="Q22" s="22" t="n">
        <x:f>IF(AND(C22&gt;=4,C22&lt;4+Assumptions!D26),'Annual model'!G17-'Annual model'!F17,0)</x:f>
        <x:v>113091797.91562003</x:v>
      </x:c>
      <x:c r="R22" s="22" t="n">
        <x:f>IF(AND(C22&gt;=5,C22&lt;5+Assumptions!D26),'Annual model'!H17-'Annual model'!G17,0)</x:f>
        <x:v>0</x:v>
      </x:c>
      <x:c r="S22" s="32" t="n">
        <x:f>IF(AND(C22&gt;=6,C22&lt;6+Assumptions!D26),'Annual model'!I17-'Annual model'!H17,0)</x:f>
        <x:v>0</x:v>
      </x:c>
      <x:c r="T22" s="32" t="n">
        <x:f>IF(AND(C22&gt;=7,C22&lt;7+Assumptions!D26),'Annual model'!J17-'Annual model'!I17,0)</x:f>
        <x:v>0</x:v>
      </x:c>
      <x:c r="U22" s="32" t="n">
        <x:f>IF(AND(C22&gt;=8,C22&lt;8+Assumptions!D26),'Annual model'!K17-'Annual model'!J17,0)</x:f>
        <x:v>0</x:v>
      </x:c>
      <x:c r="V22" s="32" t="n">
        <x:f>IF(AND(C22&gt;=9,C22&lt;9+Assumptions!D26),'Annual model'!L17-'Annual model'!K17,0)</x:f>
        <x:v>0</x:v>
      </x:c>
      <x:c r="W22" s="32" t="n">
        <x:f>IF(AND(C22&gt;=10,C22&lt;10+Assumptions!D26),'Annual model'!M17-'Annual model'!L17,0)</x:f>
        <x:v>0</x:v>
      </x:c>
    </x:row>
    <x:row r="23">
      <x:c r="A23" s="1"/>
      <x:c r="B23" s="1"/>
      <x:c r="C23" s="1" t="n">
        <x:v>18</x:v>
      </x:c>
      <x:c r="D23" s="21" t="n">
        <x:f>'Annual model'!D22</x:f>
        <x:v>9525</x:v>
      </x:c>
      <x:c r="E23" s="22" t="n">
        <x:f>'Annual model'!M11*(1+Assumptions!D20)^(18-10)</x:f>
        <x:v>511205899.0453901</x:v>
      </x:c>
      <x:c r="F23" s="22" t="n">
        <x:f>'Annual model'!M14*(1+Assumptions!D20)^(18-10)</x:f>
        <x:v>335447278.7444908</x:v>
      </x:c>
      <x:c r="G23" s="22" t="n">
        <x:f>Assumptions!H7</x:f>
        <x:v>5000000</x:v>
      </x:c>
      <x:c r="H23" s="22" t="n">
        <x:f>SUM(N23:W23)</x:f>
        <x:v>354913311.5115424</x:v>
      </x:c>
      <x:c r="I23" s="22" t="n">
        <x:f>'Annual model'!M18*(1+Assumptions!H9)^(18-10)</x:f>
        <x:v>18276043.46264876</x:v>
      </x:c>
      <x:c r="J23" s="22" t="n">
        <x:f>E23*Assumptions!H8</x:f>
        <x:v>25560294.95226951</x:v>
      </x:c>
      <x:c r="K23" s="22" t="n">
        <x:f>F23+G23-H23-I23-J23-Assumptions!D28*MIN(1,D23/'Annual model'!D22)</x:f>
        <x:v>-63302371.18196985</x:v>
      </x:c>
      <x:c r="L23" s="22" t="n">
        <x:f>L22+K23</x:f>
        <x:v>-1849718120.4264922</x:v>
      </x:c>
      <x:c r="M23" s="22" t="n">
        <x:v>0</x:v>
      </x:c>
      <x:c r="N23" s="22" t="n">
        <x:f>IF(AND(C23&gt;=1,C23&lt;1+Assumptions!D26),'Annual model'!D17-0,0)</x:f>
        <x:v>31793888.89548517</x:v>
      </x:c>
      <x:c r="O23" s="22" t="n">
        <x:f>IF(AND(C23&gt;=2,C23&lt;2+Assumptions!D26),'Annual model'!E17-'Annual model'!D17,0)</x:f>
        <x:v>80779855.65401429</x:v>
      </x:c>
      <x:c r="P23" s="22" t="n">
        <x:f>IF(AND(C23&gt;=3,C23&lt;3+Assumptions!D26),'Annual model'!F17-'Annual model'!E17,0)</x:f>
        <x:v>129247769.04642288</x:v>
      </x:c>
      <x:c r="Q23" s="22" t="n">
        <x:f>IF(AND(C23&gt;=4,C23&lt;4+Assumptions!D26),'Annual model'!G17-'Annual model'!F17,0)</x:f>
        <x:v>113091797.91562003</x:v>
      </x:c>
      <x:c r="R23" s="22" t="n">
        <x:f>IF(AND(C23&gt;=5,C23&lt;5+Assumptions!D26),'Annual model'!H17-'Annual model'!G17,0)</x:f>
        <x:v>0</x:v>
      </x:c>
      <x:c r="S23" s="32" t="n">
        <x:f>IF(AND(C23&gt;=6,C23&lt;6+Assumptions!D26),'Annual model'!I17-'Annual model'!H17,0)</x:f>
        <x:v>0</x:v>
      </x:c>
      <x:c r="T23" s="32" t="n">
        <x:f>IF(AND(C23&gt;=7,C23&lt;7+Assumptions!D26),'Annual model'!J17-'Annual model'!I17,0)</x:f>
        <x:v>0</x:v>
      </x:c>
      <x:c r="U23" s="32" t="n">
        <x:f>IF(AND(C23&gt;=8,C23&lt;8+Assumptions!D26),'Annual model'!K17-'Annual model'!J17,0)</x:f>
        <x:v>0</x:v>
      </x:c>
      <x:c r="V23" s="32" t="n">
        <x:f>IF(AND(C23&gt;=9,C23&lt;9+Assumptions!D26),'Annual model'!L17-'Annual model'!K17,0)</x:f>
        <x:v>0</x:v>
      </x:c>
      <x:c r="W23" s="32" t="n">
        <x:f>IF(AND(C23&gt;=10,C23&lt;10+Assumptions!D26),'Annual model'!M17-'Annual model'!L17,0)</x:f>
        <x:v>0</x:v>
      </x:c>
    </x:row>
    <x:row r="24">
      <x:c r="A24" s="1"/>
      <x:c r="B24" s="1"/>
      <x:c r="C24" s="1" t="n">
        <x:v>19</x:v>
      </x:c>
      <x:c r="D24" s="21" t="n">
        <x:f>'Annual model'!D22</x:f>
        <x:v>9525</x:v>
      </x:c>
      <x:c r="E24" s="22" t="n">
        <x:f>'Annual model'!M11*(1+Assumptions!D20)^(19-10)</x:f>
        <x:v>523986046.5215249</x:v>
      </x:c>
      <x:c r="F24" s="22" t="n">
        <x:f>'Annual model'!M14*(1+Assumptions!D20)^(19-10)</x:f>
        <x:v>343833460.71310306</x:v>
      </x:c>
      <x:c r="G24" s="22" t="n">
        <x:f>Assumptions!H7</x:f>
        <x:v>5000000</x:v>
      </x:c>
      <x:c r="H24" s="22" t="n">
        <x:f>SUM(N24:W24)</x:f>
        <x:v>354913311.5115424</x:v>
      </x:c>
      <x:c r="I24" s="22" t="n">
        <x:f>'Annual model'!M18*(1+Assumptions!H9)^(19-10)</x:f>
        <x:v>18732944.549214978</x:v>
      </x:c>
      <x:c r="J24" s="22" t="n">
        <x:f>E24*Assumptions!H8</x:f>
        <x:v>26199302.326076247</x:v>
      </x:c>
      <x:c r="K24" s="22" t="n">
        <x:f>F24+G24-H24-I24-J24-Assumptions!D28*MIN(1,D24/'Annual model'!D22)</x:f>
        <x:v>-56012097.67373055</x:v>
      </x:c>
      <x:c r="L24" s="22" t="n">
        <x:f>L23+K24</x:f>
        <x:v>-1905730218.1002228</x:v>
      </x:c>
      <x:c r="M24" s="22" t="n">
        <x:v>0</x:v>
      </x:c>
      <x:c r="N24" s="22" t="n">
        <x:f>IF(AND(C24&gt;=1,C24&lt;1+Assumptions!D26),'Annual model'!D17-0,0)</x:f>
        <x:v>31793888.89548517</x:v>
      </x:c>
      <x:c r="O24" s="22" t="n">
        <x:f>IF(AND(C24&gt;=2,C24&lt;2+Assumptions!D26),'Annual model'!E17-'Annual model'!D17,0)</x:f>
        <x:v>80779855.65401429</x:v>
      </x:c>
      <x:c r="P24" s="22" t="n">
        <x:f>IF(AND(C24&gt;=3,C24&lt;3+Assumptions!D26),'Annual model'!F17-'Annual model'!E17,0)</x:f>
        <x:v>129247769.04642288</x:v>
      </x:c>
      <x:c r="Q24" s="22" t="n">
        <x:f>IF(AND(C24&gt;=4,C24&lt;4+Assumptions!D26),'Annual model'!G17-'Annual model'!F17,0)</x:f>
        <x:v>113091797.91562003</x:v>
      </x:c>
      <x:c r="R24" s="22" t="n">
        <x:f>IF(AND(C24&gt;=5,C24&lt;5+Assumptions!D26),'Annual model'!H17-'Annual model'!G17,0)</x:f>
        <x:v>0</x:v>
      </x:c>
      <x:c r="S24" s="32" t="n">
        <x:f>IF(AND(C24&gt;=6,C24&lt;6+Assumptions!D26),'Annual model'!I17-'Annual model'!H17,0)</x:f>
        <x:v>0</x:v>
      </x:c>
      <x:c r="T24" s="32" t="n">
        <x:f>IF(AND(C24&gt;=7,C24&lt;7+Assumptions!D26),'Annual model'!J17-'Annual model'!I17,0)</x:f>
        <x:v>0</x:v>
      </x:c>
      <x:c r="U24" s="32" t="n">
        <x:f>IF(AND(C24&gt;=8,C24&lt;8+Assumptions!D26),'Annual model'!K17-'Annual model'!J17,0)</x:f>
        <x:v>0</x:v>
      </x:c>
      <x:c r="V24" s="32" t="n">
        <x:f>IF(AND(C24&gt;=9,C24&lt;9+Assumptions!D26),'Annual model'!L17-'Annual model'!K17,0)</x:f>
        <x:v>0</x:v>
      </x:c>
      <x:c r="W24" s="32" t="n">
        <x:f>IF(AND(C24&gt;=10,C24&lt;10+Assumptions!D26),'Annual model'!M17-'Annual model'!L17,0)</x:f>
        <x:v>0</x:v>
      </x:c>
    </x:row>
    <x:row r="25">
      <x:c r="A25" s="1"/>
      <x:c r="B25" s="1"/>
      <x:c r="C25" s="38" t="n">
        <x:v>20</x:v>
      </x:c>
      <x:c r="D25" s="39" t="n">
        <x:f>'Annual model'!D22</x:f>
        <x:v>9525</x:v>
      </x:c>
      <x:c r="E25" s="40" t="n">
        <x:f>'Annual model'!M11*(1+Assumptions!D20)^(20-10)</x:f>
        <x:v>537085697.6845629</x:v>
      </x:c>
      <x:c r="F25" s="40" t="n">
        <x:f>'Annual model'!M14*(1+Assumptions!D20)^(20-10)</x:f>
        <x:v>352429297.23093057</x:v>
      </x:c>
      <x:c r="G25" s="40" t="n">
        <x:f>Assumptions!H7</x:f>
        <x:v>5000000</x:v>
      </x:c>
      <x:c r="H25" s="40" t="n">
        <x:f>SUM(N25:W25)</x:f>
        <x:v>354913311.5115424</x:v>
      </x:c>
      <x:c r="I25" s="40" t="n">
        <x:f>'Annual model'!M18*(1+Assumptions!H9)^(20-10)</x:f>
        <x:v>19201268.16294535</x:v>
      </x:c>
      <x:c r="J25" s="40" t="n">
        <x:f>E25*Assumptions!H8</x:f>
        <x:v>26854284.884228148</x:v>
      </x:c>
      <x:c r="K25" s="40" t="n">
        <x:f>F25+G25-H25-I25-J25-Assumptions!D28*MIN(1,D25/'Annual model'!D22)</x:f>
        <x:v>-48539567.32778531</x:v>
      </x:c>
      <x:c r="L25" s="40" t="n">
        <x:f>L24+K25</x:f>
        <x:v>-1954269785.428008</x:v>
      </x:c>
      <x:c r="M25" s="40" t="n">
        <x:v>0</x:v>
      </x:c>
      <x:c r="N25" s="22" t="n">
        <x:f>IF(AND(C25&gt;=1,C25&lt;1+Assumptions!D26),'Annual model'!D17-0,0)</x:f>
        <x:v>31793888.89548517</x:v>
      </x:c>
      <x:c r="O25" s="22" t="n">
        <x:f>IF(AND(C25&gt;=2,C25&lt;2+Assumptions!D26),'Annual model'!E17-'Annual model'!D17,0)</x:f>
        <x:v>80779855.65401429</x:v>
      </x:c>
      <x:c r="P25" s="22" t="n">
        <x:f>IF(AND(C25&gt;=3,C25&lt;3+Assumptions!D26),'Annual model'!F17-'Annual model'!E17,0)</x:f>
        <x:v>129247769.04642288</x:v>
      </x:c>
      <x:c r="Q25" s="22" t="n">
        <x:f>IF(AND(C25&gt;=4,C25&lt;4+Assumptions!D26),'Annual model'!G17-'Annual model'!F17,0)</x:f>
        <x:v>113091797.91562003</x:v>
      </x:c>
      <x:c r="R25" s="22" t="n">
        <x:f>IF(AND(C25&gt;=5,C25&lt;5+Assumptions!D26),'Annual model'!H17-'Annual model'!G17,0)</x:f>
        <x:v>0</x:v>
      </x:c>
      <x:c r="S25" s="32" t="n">
        <x:f>IF(AND(C25&gt;=6,C25&lt;6+Assumptions!D26),'Annual model'!I17-'Annual model'!H17,0)</x:f>
        <x:v>0</x:v>
      </x:c>
      <x:c r="T25" s="32" t="n">
        <x:f>IF(AND(C25&gt;=7,C25&lt;7+Assumptions!D26),'Annual model'!J17-'Annual model'!I17,0)</x:f>
        <x:v>0</x:v>
      </x:c>
      <x:c r="U25" s="32" t="n">
        <x:f>IF(AND(C25&gt;=8,C25&lt;8+Assumptions!D26),'Annual model'!K17-'Annual model'!J17,0)</x:f>
        <x:v>0</x:v>
      </x:c>
      <x:c r="V25" s="32" t="n">
        <x:f>IF(AND(C25&gt;=9,C25&lt;9+Assumptions!D26),'Annual model'!L17-'Annual model'!K17,0)</x:f>
        <x:v>0</x:v>
      </x:c>
      <x:c r="W25" s="32" t="n">
        <x:f>IF(AND(C25&gt;=10,C25&lt;10+Assumptions!D26),'Annual model'!M17-'Annual model'!L17,0)</x:f>
        <x:v>0</x:v>
      </x:c>
    </x:row>
    <x:row r="26">
      <x:c r="A26" s="1"/>
      <x:c r="B26" s="1"/>
      <x:c r="C26" s="1" t="n">
        <x:v>21</x:v>
      </x:c>
      <x:c r="D26" s="21" t="n">
        <x:f>'Annual model'!D22</x:f>
        <x:v>9525</x:v>
      </x:c>
      <x:c r="E26" s="22" t="n">
        <x:f>'Annual model'!M11*(1+Assumptions!D20)^(21-10)</x:f>
        <x:v>550512840.126677</x:v>
      </x:c>
      <x:c r="F26" s="22" t="n">
        <x:f>'Annual model'!M14*(1+Assumptions!D20)^(21-10)</x:f>
        <x:v>361240029.6617038</x:v>
      </x:c>
      <x:c r="G26" s="22" t="n">
        <x:f>Assumptions!H7</x:f>
        <x:v>5000000</x:v>
      </x:c>
      <x:c r="H26" s="22" t="n">
        <x:f>SUM(N26:W26)</x:f>
        <x:v>354913311.5115424</x:v>
      </x:c>
      <x:c r="I26" s="22" t="n">
        <x:f>'Annual model'!M18*(1+Assumptions!H9)^(21-10)</x:f>
        <x:v>19681299.867018983</x:v>
      </x:c>
      <x:c r="J26" s="22" t="n">
        <x:f>E26*Assumptions!H8</x:f>
        <x:v>27525642.006333854</x:v>
      </x:c>
      <x:c r="K26" s="22" t="n">
        <x:f>F26+G26-H26-I26-J26-Assumptions!D28*MIN(1,D26/'Annual model'!D22)</x:f>
        <x:v>-40880223.723191395</x:v>
      </x:c>
      <x:c r="L26" s="22" t="n">
        <x:f>L25+K26</x:f>
        <x:v>-1995150009.1511996</x:v>
      </x:c>
      <x:c r="M26" s="22" t="n">
        <x:v>0</x:v>
      </x:c>
      <x:c r="N26" s="22" t="n">
        <x:f>IF(AND(C26&gt;=1,C26&lt;1+Assumptions!D26),'Annual model'!D17-0,0)</x:f>
        <x:v>31793888.89548517</x:v>
      </x:c>
      <x:c r="O26" s="22" t="n">
        <x:f>IF(AND(C26&gt;=2,C26&lt;2+Assumptions!D26),'Annual model'!E17-'Annual model'!D17,0)</x:f>
        <x:v>80779855.65401429</x:v>
      </x:c>
      <x:c r="P26" s="22" t="n">
        <x:f>IF(AND(C26&gt;=3,C26&lt;3+Assumptions!D26),'Annual model'!F17-'Annual model'!E17,0)</x:f>
        <x:v>129247769.04642288</x:v>
      </x:c>
      <x:c r="Q26" s="22" t="n">
        <x:f>IF(AND(C26&gt;=4,C26&lt;4+Assumptions!D26),'Annual model'!G17-'Annual model'!F17,0)</x:f>
        <x:v>113091797.91562003</x:v>
      </x:c>
      <x:c r="R26" s="22" t="n">
        <x:f>IF(AND(C26&gt;=5,C26&lt;5+Assumptions!D26),'Annual model'!H17-'Annual model'!G17,0)</x:f>
        <x:v>0</x:v>
      </x:c>
      <x:c r="S26" s="32" t="n">
        <x:f>IF(AND(C26&gt;=6,C26&lt;6+Assumptions!D26),'Annual model'!I17-'Annual model'!H17,0)</x:f>
        <x:v>0</x:v>
      </x:c>
      <x:c r="T26" s="32" t="n">
        <x:f>IF(AND(C26&gt;=7,C26&lt;7+Assumptions!D26),'Annual model'!J17-'Annual model'!I17,0)</x:f>
        <x:v>0</x:v>
      </x:c>
      <x:c r="U26" s="32" t="n">
        <x:f>IF(AND(C26&gt;=8,C26&lt;8+Assumptions!D26),'Annual model'!K17-'Annual model'!J17,0)</x:f>
        <x:v>0</x:v>
      </x:c>
      <x:c r="V26" s="32" t="n">
        <x:f>IF(AND(C26&gt;=9,C26&lt;9+Assumptions!D26),'Annual model'!L17-'Annual model'!K17,0)</x:f>
        <x:v>0</x:v>
      </x:c>
      <x:c r="W26" s="32" t="n">
        <x:f>IF(AND(C26&gt;=10,C26&lt;10+Assumptions!D26),'Annual model'!M17-'Annual model'!L17,0)</x:f>
        <x:v>0</x:v>
      </x:c>
    </x:row>
    <x:row r="27">
      <x:c r="A27" s="1"/>
      <x:c r="B27" s="1"/>
      <x:c r="C27" s="1" t="n">
        <x:v>22</x:v>
      </x:c>
      <x:c r="D27" s="21" t="n">
        <x:f>'Annual model'!D22</x:f>
        <x:v>9525</x:v>
      </x:c>
      <x:c r="E27" s="22" t="n">
        <x:f>'Annual model'!M11*(1+Assumptions!D20)^(22-10)</x:f>
        <x:v>564275661.1298438</x:v>
      </x:c>
      <x:c r="F27" s="22" t="n">
        <x:f>'Annual model'!M14*(1+Assumptions!D20)^(22-10)</x:f>
        <x:v>370271030.4032464</x:v>
      </x:c>
      <x:c r="G27" s="22" t="n">
        <x:f>Assumptions!H7</x:f>
        <x:v>5000000</x:v>
      </x:c>
      <x:c r="H27" s="22" t="n">
        <x:f>SUM(N27:W27)</x:f>
        <x:v>354913311.5115424</x:v>
      </x:c>
      <x:c r="I27" s="22" t="n">
        <x:f>'Annual model'!M18*(1+Assumptions!H9)^(22-10)</x:f>
        <x:v>20173332.363694455</x:v>
      </x:c>
      <x:c r="J27" s="22" t="n">
        <x:f>E27*Assumptions!H8</x:f>
        <x:v>28213783.056492195</x:v>
      </x:c>
      <x:c r="K27" s="22" t="n">
        <x:f>F27+G27-H27-I27-J27-Assumptions!D28*MIN(1,D27/'Annual model'!D22)</x:f>
        <x:v>-33029396.528482627</x:v>
      </x:c>
      <x:c r="L27" s="22" t="n">
        <x:f>L26+K27</x:f>
        <x:v>-2028179405.6796823</x:v>
      </x:c>
      <x:c r="M27" s="22" t="n">
        <x:v>0</x:v>
      </x:c>
      <x:c r="N27" s="22" t="n">
        <x:f>IF(AND(C27&gt;=1,C27&lt;1+Assumptions!D26),'Annual model'!D17-0,0)</x:f>
        <x:v>31793888.89548517</x:v>
      </x:c>
      <x:c r="O27" s="22" t="n">
        <x:f>IF(AND(C27&gt;=2,C27&lt;2+Assumptions!D26),'Annual model'!E17-'Annual model'!D17,0)</x:f>
        <x:v>80779855.65401429</x:v>
      </x:c>
      <x:c r="P27" s="22" t="n">
        <x:f>IF(AND(C27&gt;=3,C27&lt;3+Assumptions!D26),'Annual model'!F17-'Annual model'!E17,0)</x:f>
        <x:v>129247769.04642288</x:v>
      </x:c>
      <x:c r="Q27" s="22" t="n">
        <x:f>IF(AND(C27&gt;=4,C27&lt;4+Assumptions!D26),'Annual model'!G17-'Annual model'!F17,0)</x:f>
        <x:v>113091797.91562003</x:v>
      </x:c>
      <x:c r="R27" s="22" t="n">
        <x:f>IF(AND(C27&gt;=5,C27&lt;5+Assumptions!D26),'Annual model'!H17-'Annual model'!G17,0)</x:f>
        <x:v>0</x:v>
      </x:c>
      <x:c r="S27" s="32" t="n">
        <x:f>IF(AND(C27&gt;=6,C27&lt;6+Assumptions!D26),'Annual model'!I17-'Annual model'!H17,0)</x:f>
        <x:v>0</x:v>
      </x:c>
      <x:c r="T27" s="32" t="n">
        <x:f>IF(AND(C27&gt;=7,C27&lt;7+Assumptions!D26),'Annual model'!J17-'Annual model'!I17,0)</x:f>
        <x:v>0</x:v>
      </x:c>
      <x:c r="U27" s="32" t="n">
        <x:f>IF(AND(C27&gt;=8,C27&lt;8+Assumptions!D26),'Annual model'!K17-'Annual model'!J17,0)</x:f>
        <x:v>0</x:v>
      </x:c>
      <x:c r="V27" s="32" t="n">
        <x:f>IF(AND(C27&gt;=9,C27&lt;9+Assumptions!D26),'Annual model'!L17-'Annual model'!K17,0)</x:f>
        <x:v>0</x:v>
      </x:c>
      <x:c r="W27" s="32" t="n">
        <x:f>IF(AND(C27&gt;=10,C27&lt;10+Assumptions!D26),'Annual model'!M17-'Annual model'!L17,0)</x:f>
        <x:v>0</x:v>
      </x:c>
    </x:row>
    <x:row r="28">
      <x:c r="A28" s="1"/>
      <x:c r="B28" s="1"/>
      <x:c r="C28" s="1" t="n">
        <x:v>23</x:v>
      </x:c>
      <x:c r="D28" s="21" t="n">
        <x:f>'Annual model'!D22</x:f>
        <x:v>9525</x:v>
      </x:c>
      <x:c r="E28" s="22" t="n">
        <x:f>'Annual model'!M11*(1+Assumptions!D20)^(23-10)</x:f>
        <x:v>578382552.6580899</x:v>
      </x:c>
      <x:c r="F28" s="22" t="n">
        <x:f>'Annual model'!M14*(1+Assumptions!D20)^(23-10)</x:f>
        <x:v>379527806.1633275</x:v>
      </x:c>
      <x:c r="G28" s="22" t="n">
        <x:f>Assumptions!H7</x:f>
        <x:v>5000000</x:v>
      </x:c>
      <x:c r="H28" s="22" t="n">
        <x:f>SUM(N28:W28)</x:f>
        <x:v>354913311.5115424</x:v>
      </x:c>
      <x:c r="I28" s="22" t="n">
        <x:f>'Annual model'!M18*(1+Assumptions!H9)^(23-10)</x:f>
        <x:v>20677665.672786813</x:v>
      </x:c>
      <x:c r="J28" s="22" t="n">
        <x:f>E28*Assumptions!H8</x:f>
        <x:v>28919127.632904496</x:v>
      </x:c>
      <x:c r="K28" s="22" t="n">
        <x:f>F28+G28-H28-I28-J28-Assumptions!D28*MIN(1,D28/'Annual model'!D22)</x:f>
        <x:v>-24982298.653906174</x:v>
      </x:c>
      <x:c r="L28" s="22" t="n">
        <x:f>L27+K28</x:f>
        <x:v>-2053161704.3335884</x:v>
      </x:c>
      <x:c r="M28" s="22" t="n">
        <x:v>0</x:v>
      </x:c>
      <x:c r="N28" s="22" t="n">
        <x:f>IF(AND(C28&gt;=1,C28&lt;1+Assumptions!D26),'Annual model'!D17-0,0)</x:f>
        <x:v>31793888.89548517</x:v>
      </x:c>
      <x:c r="O28" s="22" t="n">
        <x:f>IF(AND(C28&gt;=2,C28&lt;2+Assumptions!D26),'Annual model'!E17-'Annual model'!D17,0)</x:f>
        <x:v>80779855.65401429</x:v>
      </x:c>
      <x:c r="P28" s="22" t="n">
        <x:f>IF(AND(C28&gt;=3,C28&lt;3+Assumptions!D26),'Annual model'!F17-'Annual model'!E17,0)</x:f>
        <x:v>129247769.04642288</x:v>
      </x:c>
      <x:c r="Q28" s="22" t="n">
        <x:f>IF(AND(C28&gt;=4,C28&lt;4+Assumptions!D26),'Annual model'!G17-'Annual model'!F17,0)</x:f>
        <x:v>113091797.91562003</x:v>
      </x:c>
      <x:c r="R28" s="22" t="n">
        <x:f>IF(AND(C28&gt;=5,C28&lt;5+Assumptions!D26),'Annual model'!H17-'Annual model'!G17,0)</x:f>
        <x:v>0</x:v>
      </x:c>
      <x:c r="S28" s="32" t="n">
        <x:f>IF(AND(C28&gt;=6,C28&lt;6+Assumptions!D26),'Annual model'!I17-'Annual model'!H17,0)</x:f>
        <x:v>0</x:v>
      </x:c>
      <x:c r="T28" s="32" t="n">
        <x:f>IF(AND(C28&gt;=7,C28&lt;7+Assumptions!D26),'Annual model'!J17-'Annual model'!I17,0)</x:f>
        <x:v>0</x:v>
      </x:c>
      <x:c r="U28" s="32" t="n">
        <x:f>IF(AND(C28&gt;=8,C28&lt;8+Assumptions!D26),'Annual model'!K17-'Annual model'!J17,0)</x:f>
        <x:v>0</x:v>
      </x:c>
      <x:c r="V28" s="32" t="n">
        <x:f>IF(AND(C28&gt;=9,C28&lt;9+Assumptions!D26),'Annual model'!L17-'Annual model'!K17,0)</x:f>
        <x:v>0</x:v>
      </x:c>
      <x:c r="W28" s="32" t="n">
        <x:f>IF(AND(C28&gt;=10,C28&lt;10+Assumptions!D26),'Annual model'!M17-'Annual model'!L17,0)</x:f>
        <x:v>0</x:v>
      </x:c>
    </x:row>
    <x:row r="29">
      <x:c r="A29" s="1"/>
      <x:c r="B29" s="1"/>
      <x:c r="C29" s="1" t="n">
        <x:v>24</x:v>
      </x:c>
      <x:c r="D29" s="21" t="n">
        <x:f>'Annual model'!D22</x:f>
        <x:v>9525</x:v>
      </x:c>
      <x:c r="E29" s="22" t="n">
        <x:f>'Annual model'!M11*(1+Assumptions!D20)^(24-10)</x:f>
        <x:v>592842116.4745421</x:v>
      </x:c>
      <x:c r="F29" s="22" t="n">
        <x:f>'Annual model'!M14*(1+Assumptions!D20)^(24-10)</x:f>
        <x:v>389016001.3174107</x:v>
      </x:c>
      <x:c r="G29" s="22" t="n">
        <x:f>Assumptions!H7</x:f>
        <x:v>5000000</x:v>
      </x:c>
      <x:c r="H29" s="22" t="n">
        <x:f>SUM(N29:W29)</x:f>
        <x:v>354913311.5115424</x:v>
      </x:c>
      <x:c r="I29" s="22" t="n">
        <x:f>'Annual model'!M18*(1+Assumptions!H9)^(24-10)</x:f>
        <x:v>21194607.314606484</x:v>
      </x:c>
      <x:c r="J29" s="22" t="n">
        <x:f>E29*Assumptions!H8</x:f>
        <x:v>29642105.82372711</x:v>
      </x:c>
      <x:c r="K29" s="22" t="n">
        <x:f>F29+G29-H29-I29-J29-Assumptions!D28*MIN(1,D29/'Annual model'!D22)</x:f>
        <x:v>-16734023.332465265</x:v>
      </x:c>
      <x:c r="L29" s="22" t="n">
        <x:f>L28+K29</x:f>
        <x:v>-2069895727.6660535</x:v>
      </x:c>
      <x:c r="M29" s="22" t="n">
        <x:v>0</x:v>
      </x:c>
      <x:c r="N29" s="22" t="n">
        <x:f>IF(AND(C29&gt;=1,C29&lt;1+Assumptions!D26),'Annual model'!D17-0,0)</x:f>
        <x:v>31793888.89548517</x:v>
      </x:c>
      <x:c r="O29" s="22" t="n">
        <x:f>IF(AND(C29&gt;=2,C29&lt;2+Assumptions!D26),'Annual model'!E17-'Annual model'!D17,0)</x:f>
        <x:v>80779855.65401429</x:v>
      </x:c>
      <x:c r="P29" s="22" t="n">
        <x:f>IF(AND(C29&gt;=3,C29&lt;3+Assumptions!D26),'Annual model'!F17-'Annual model'!E17,0)</x:f>
        <x:v>129247769.04642288</x:v>
      </x:c>
      <x:c r="Q29" s="22" t="n">
        <x:f>IF(AND(C29&gt;=4,C29&lt;4+Assumptions!D26),'Annual model'!G17-'Annual model'!F17,0)</x:f>
        <x:v>113091797.91562003</x:v>
      </x:c>
      <x:c r="R29" s="22" t="n">
        <x:f>IF(AND(C29&gt;=5,C29&lt;5+Assumptions!D26),'Annual model'!H17-'Annual model'!G17,0)</x:f>
        <x:v>0</x:v>
      </x:c>
      <x:c r="S29" s="32" t="n">
        <x:f>IF(AND(C29&gt;=6,C29&lt;6+Assumptions!D26),'Annual model'!I17-'Annual model'!H17,0)</x:f>
        <x:v>0</x:v>
      </x:c>
      <x:c r="T29" s="32" t="n">
        <x:f>IF(AND(C29&gt;=7,C29&lt;7+Assumptions!D26),'Annual model'!J17-'Annual model'!I17,0)</x:f>
        <x:v>0</x:v>
      </x:c>
      <x:c r="U29" s="32" t="n">
        <x:f>IF(AND(C29&gt;=8,C29&lt;8+Assumptions!D26),'Annual model'!K17-'Annual model'!J17,0)</x:f>
        <x:v>0</x:v>
      </x:c>
      <x:c r="V29" s="32" t="n">
        <x:f>IF(AND(C29&gt;=9,C29&lt;9+Assumptions!D26),'Annual model'!L17-'Annual model'!K17,0)</x:f>
        <x:v>0</x:v>
      </x:c>
      <x:c r="W29" s="32" t="n">
        <x:f>IF(AND(C29&gt;=10,C29&lt;10+Assumptions!D26),'Annual model'!M17-'Annual model'!L17,0)</x:f>
        <x:v>0</x:v>
      </x:c>
    </x:row>
    <x:row r="30">
      <x:c r="A30" s="1"/>
      <x:c r="B30" s="1"/>
      <x:c r="C30" s="1" t="n">
        <x:v>25</x:v>
      </x:c>
      <x:c r="D30" s="21" t="n">
        <x:f>'Annual model'!D22</x:f>
        <x:v>9525</x:v>
      </x:c>
      <x:c r="E30" s="22" t="n">
        <x:f>'Annual model'!M11*(1+Assumptions!D20)^(25-10)</x:f>
        <x:v>607663169.3864056</x:v>
      </x:c>
      <x:c r="F30" s="22" t="n">
        <x:f>'Annual model'!M14*(1+Assumptions!D20)^(25-10)</x:f>
        <x:v>398741401.3503459</x:v>
      </x:c>
      <x:c r="G30" s="22" t="n">
        <x:f>Assumptions!H7</x:f>
        <x:v>5000000</x:v>
      </x:c>
      <x:c r="H30" s="22" t="n">
        <x:f>SUM(N30:W30)</x:f>
        <x:v>354913311.5115424</x:v>
      </x:c>
      <x:c r="I30" s="22" t="n">
        <x:f>'Annual model'!M18*(1+Assumptions!H9)^(25-10)</x:f>
        <x:v>21724472.497471645</x:v>
      </x:c>
      <x:c r="J30" s="22" t="n">
        <x:f>E30*Assumptions!H8</x:f>
        <x:v>30383158.469320282</x:v>
      </x:c>
      <x:c r="K30" s="22" t="n">
        <x:f>F30+G30-H30-I30-J30-Assumptions!D28*MIN(1,D30/'Annual model'!D22)</x:f>
        <x:v>-8279541.127988398</x:v>
      </x:c>
      <x:c r="L30" s="22" t="n">
        <x:f>L29+K30</x:f>
        <x:v>-2078175268.7940419</x:v>
      </x:c>
      <x:c r="M30" s="22" t="n">
        <x:v>0</x:v>
      </x:c>
      <x:c r="N30" s="22" t="n">
        <x:f>IF(AND(C30&gt;=1,C30&lt;1+Assumptions!D26),'Annual model'!D17-0,0)</x:f>
        <x:v>31793888.89548517</x:v>
      </x:c>
      <x:c r="O30" s="22" t="n">
        <x:f>IF(AND(C30&gt;=2,C30&lt;2+Assumptions!D26),'Annual model'!E17-'Annual model'!D17,0)</x:f>
        <x:v>80779855.65401429</x:v>
      </x:c>
      <x:c r="P30" s="22" t="n">
        <x:f>IF(AND(C30&gt;=3,C30&lt;3+Assumptions!D26),'Annual model'!F17-'Annual model'!E17,0)</x:f>
        <x:v>129247769.04642288</x:v>
      </x:c>
      <x:c r="Q30" s="22" t="n">
        <x:f>IF(AND(C30&gt;=4,C30&lt;4+Assumptions!D26),'Annual model'!G17-'Annual model'!F17,0)</x:f>
        <x:v>113091797.91562003</x:v>
      </x:c>
      <x:c r="R30" s="22" t="n">
        <x:f>IF(AND(C30&gt;=5,C30&lt;5+Assumptions!D26),'Annual model'!H17-'Annual model'!G17,0)</x:f>
        <x:v>0</x:v>
      </x:c>
      <x:c r="S30" s="32" t="n">
        <x:f>IF(AND(C30&gt;=6,C30&lt;6+Assumptions!D26),'Annual model'!I17-'Annual model'!H17,0)</x:f>
        <x:v>0</x:v>
      </x:c>
      <x:c r="T30" s="32" t="n">
        <x:f>IF(AND(C30&gt;=7,C30&lt;7+Assumptions!D26),'Annual model'!J17-'Annual model'!I17,0)</x:f>
        <x:v>0</x:v>
      </x:c>
      <x:c r="U30" s="32" t="n">
        <x:f>IF(AND(C30&gt;=8,C30&lt;8+Assumptions!D26),'Annual model'!K17-'Annual model'!J17,0)</x:f>
        <x:v>0</x:v>
      </x:c>
      <x:c r="V30" s="32" t="n">
        <x:f>IF(AND(C30&gt;=9,C30&lt;9+Assumptions!D26),'Annual model'!L17-'Annual model'!K17,0)</x:f>
        <x:v>0</x:v>
      </x:c>
      <x:c r="W30" s="32" t="n">
        <x:f>IF(AND(C30&gt;=10,C30&lt;10+Assumptions!D26),'Annual model'!M17-'Annual model'!L17,0)</x:f>
        <x:v>0</x:v>
      </x:c>
    </x:row>
    <x:row r="31">
      <x:c r="A31" s="1"/>
      <x:c r="B31" s="1"/>
      <x:c r="C31" s="1" t="n">
        <x:v>26</x:v>
      </x:c>
      <x:c r="D31" s="21" t="n">
        <x:f>'Annual model'!D22</x:f>
        <x:v>9525</x:v>
      </x:c>
      <x:c r="E31" s="22" t="n">
        <x:f>'Annual model'!M11*(1+Assumptions!D20)^(26-10)</x:f>
        <x:v>622854748.6210657</x:v>
      </x:c>
      <x:c r="F31" s="22" t="n">
        <x:f>'Annual model'!M14*(1+Assumptions!D20)^(26-10)</x:f>
        <x:v>408709936.38410455</x:v>
      </x:c>
      <x:c r="G31" s="22" t="n">
        <x:f>Assumptions!H7</x:f>
        <x:v>5000000</x:v>
      </x:c>
      <x:c r="H31" s="22" t="n">
        <x:f>SUM(N31:W31)</x:f>
        <x:v>354913311.5115424</x:v>
      </x:c>
      <x:c r="I31" s="22" t="n">
        <x:f>'Annual model'!M18*(1+Assumptions!H9)^(26-10)</x:f>
        <x:v>22267584.309908435</x:v>
      </x:c>
      <x:c r="J31" s="22" t="n">
        <x:f>E31*Assumptions!H8</x:f>
        <x:v>31142737.43105329</x:v>
      </x:c>
      <x:c r="K31" s="22" t="n">
        <x:f>F31+G31-H31-I31-J31-Assumptions!D28*MIN(1,D31/'Annual model'!D22)</x:f>
        <x:v>386303.131600447</x:v>
      </x:c>
      <x:c r="L31" s="22" t="n">
        <x:f>L30+K31</x:f>
        <x:v>-2077788965.6624415</x:v>
      </x:c>
      <x:c r="M31" s="22" t="n">
        <x:v>0</x:v>
      </x:c>
      <x:c r="N31" s="22" t="n">
        <x:f>IF(AND(C31&gt;=1,C31&lt;1+Assumptions!D26),'Annual model'!D17-0,0)</x:f>
        <x:v>31793888.89548517</x:v>
      </x:c>
      <x:c r="O31" s="22" t="n">
        <x:f>IF(AND(C31&gt;=2,C31&lt;2+Assumptions!D26),'Annual model'!E17-'Annual model'!D17,0)</x:f>
        <x:v>80779855.65401429</x:v>
      </x:c>
      <x:c r="P31" s="22" t="n">
        <x:f>IF(AND(C31&gt;=3,C31&lt;3+Assumptions!D26),'Annual model'!F17-'Annual model'!E17,0)</x:f>
        <x:v>129247769.04642288</x:v>
      </x:c>
      <x:c r="Q31" s="22" t="n">
        <x:f>IF(AND(C31&gt;=4,C31&lt;4+Assumptions!D26),'Annual model'!G17-'Annual model'!F17,0)</x:f>
        <x:v>113091797.91562003</x:v>
      </x:c>
      <x:c r="R31" s="22" t="n">
        <x:f>IF(AND(C31&gt;=5,C31&lt;5+Assumptions!D26),'Annual model'!H17-'Annual model'!G17,0)</x:f>
        <x:v>0</x:v>
      </x:c>
      <x:c r="S31" s="32" t="n">
        <x:f>IF(AND(C31&gt;=6,C31&lt;6+Assumptions!D26),'Annual model'!I17-'Annual model'!H17,0)</x:f>
        <x:v>0</x:v>
      </x:c>
      <x:c r="T31" s="32" t="n">
        <x:f>IF(AND(C31&gt;=7,C31&lt;7+Assumptions!D26),'Annual model'!J17-'Annual model'!I17,0)</x:f>
        <x:v>0</x:v>
      </x:c>
      <x:c r="U31" s="32" t="n">
        <x:f>IF(AND(C31&gt;=8,C31&lt;8+Assumptions!D26),'Annual model'!K17-'Annual model'!J17,0)</x:f>
        <x:v>0</x:v>
      </x:c>
      <x:c r="V31" s="32" t="n">
        <x:f>IF(AND(C31&gt;=9,C31&lt;9+Assumptions!D26),'Annual model'!L17-'Annual model'!K17,0)</x:f>
        <x:v>0</x:v>
      </x:c>
      <x:c r="W31" s="32" t="n">
        <x:f>IF(AND(C31&gt;=10,C31&lt;10+Assumptions!D26),'Annual model'!M17-'Annual model'!L17,0)</x:f>
        <x:v>0</x:v>
      </x:c>
    </x:row>
    <x:row r="32">
      <x:c r="A32" s="1"/>
      <x:c r="B32" s="1"/>
      <x:c r="C32" s="1" t="n">
        <x:v>27</x:v>
      </x:c>
      <x:c r="D32" s="21" t="n">
        <x:f>'Annual model'!D22</x:f>
        <x:v>9525</x:v>
      </x:c>
      <x:c r="E32" s="22" t="n">
        <x:f>'Annual model'!M11*(1+Assumptions!D20)^(27-10)</x:f>
        <x:v>638426117.3365923</x:v>
      </x:c>
      <x:c r="F32" s="22" t="n">
        <x:f>'Annual model'!M14*(1+Assumptions!D20)^(27-10)</x:f>
        <x:v>418927684.7937071</x:v>
      </x:c>
      <x:c r="G32" s="22" t="n">
        <x:f>Assumptions!H7</x:f>
        <x:v>5000000</x:v>
      </x:c>
      <x:c r="H32" s="22" t="n">
        <x:f>SUM(N32:W32)</x:f>
        <x:v>354913311.5115424</x:v>
      </x:c>
      <x:c r="I32" s="22" t="n">
        <x:f>'Annual model'!M18*(1+Assumptions!H9)^(27-10)</x:f>
        <x:v>22824273.917656142</x:v>
      </x:c>
      <x:c r="J32" s="22" t="n">
        <x:f>E32*Assumptions!H8</x:f>
        <x:v>31921305.86682962</x:v>
      </x:c>
      <x:c r="K32" s="22" t="n">
        <x:f>F32+G32-H32-I32-J32-Assumptions!D28*MIN(1,D32/'Annual model'!D22)</x:f>
        <x:v>9268793.497678936</x:v>
      </x:c>
      <x:c r="L32" s="22" t="n">
        <x:f>L31+K32</x:f>
        <x:v>-2068520172.1647625</x:v>
      </x:c>
      <x:c r="M32" s="22" t="n">
        <x:v>0</x:v>
      </x:c>
      <x:c r="N32" s="22" t="n">
        <x:f>IF(AND(C32&gt;=1,C32&lt;1+Assumptions!D26),'Annual model'!D17-0,0)</x:f>
        <x:v>31793888.89548517</x:v>
      </x:c>
      <x:c r="O32" s="22" t="n">
        <x:f>IF(AND(C32&gt;=2,C32&lt;2+Assumptions!D26),'Annual model'!E17-'Annual model'!D17,0)</x:f>
        <x:v>80779855.65401429</x:v>
      </x:c>
      <x:c r="P32" s="22" t="n">
        <x:f>IF(AND(C32&gt;=3,C32&lt;3+Assumptions!D26),'Annual model'!F17-'Annual model'!E17,0)</x:f>
        <x:v>129247769.04642288</x:v>
      </x:c>
      <x:c r="Q32" s="22" t="n">
        <x:f>IF(AND(C32&gt;=4,C32&lt;4+Assumptions!D26),'Annual model'!G17-'Annual model'!F17,0)</x:f>
        <x:v>113091797.91562003</x:v>
      </x:c>
      <x:c r="R32" s="22" t="n">
        <x:f>IF(AND(C32&gt;=5,C32&lt;5+Assumptions!D26),'Annual model'!H17-'Annual model'!G17,0)</x:f>
        <x:v>0</x:v>
      </x:c>
      <x:c r="S32" s="32" t="n">
        <x:f>IF(AND(C32&gt;=6,C32&lt;6+Assumptions!D26),'Annual model'!I17-'Annual model'!H17,0)</x:f>
        <x:v>0</x:v>
      </x:c>
      <x:c r="T32" s="32" t="n">
        <x:f>IF(AND(C32&gt;=7,C32&lt;7+Assumptions!D26),'Annual model'!J17-'Annual model'!I17,0)</x:f>
        <x:v>0</x:v>
      </x:c>
      <x:c r="U32" s="32" t="n">
        <x:f>IF(AND(C32&gt;=8,C32&lt;8+Assumptions!D26),'Annual model'!K17-'Annual model'!J17,0)</x:f>
        <x:v>0</x:v>
      </x:c>
      <x:c r="V32" s="32" t="n">
        <x:f>IF(AND(C32&gt;=9,C32&lt;9+Assumptions!D26),'Annual model'!L17-'Annual model'!K17,0)</x:f>
        <x:v>0</x:v>
      </x:c>
      <x:c r="W32" s="32" t="n">
        <x:f>IF(AND(C32&gt;=10,C32&lt;10+Assumptions!D26),'Annual model'!M17-'Annual model'!L17,0)</x:f>
        <x:v>0</x:v>
      </x:c>
    </x:row>
    <x:row r="33">
      <x:c r="A33" s="1"/>
      <x:c r="B33" s="1"/>
      <x:c r="C33" s="1" t="n">
        <x:v>28</x:v>
      </x:c>
      <x:c r="D33" s="21" t="n">
        <x:f>'Annual model'!D22</x:f>
        <x:v>9525</x:v>
      </x:c>
      <x:c r="E33" s="22" t="n">
        <x:f>'Annual model'!M11*(1+Assumptions!D20)^(28-10)</x:f>
        <x:v>654386770.270007</x:v>
      </x:c>
      <x:c r="F33" s="22" t="n">
        <x:f>'Annual model'!M14*(1+Assumptions!D20)^(28-10)</x:f>
        <x:v>429400876.9135497</x:v>
      </x:c>
      <x:c r="G33" s="22" t="n">
        <x:f>Assumptions!H7</x:f>
        <x:v>5000000</x:v>
      </x:c>
      <x:c r="H33" s="22" t="n">
        <x:f>SUM(N33:W33)</x:f>
        <x:v>354913311.5115424</x:v>
      </x:c>
      <x:c r="I33" s="22" t="n">
        <x:f>'Annual model'!M18*(1+Assumptions!H9)^(28-10)</x:f>
        <x:v>23394880.765597545</x:v>
      </x:c>
      <x:c r="J33" s="22" t="n">
        <x:f>E33*Assumptions!H8</x:f>
        <x:v>32719338.51350035</x:v>
      </x:c>
      <x:c r="K33" s="22" t="n">
        <x:f>F33+G33-H33-I33-J33-Assumptions!D28*MIN(1,D33/'Annual model'!D22)</x:f>
        <x:v>18373346.122909445</x:v>
      </x:c>
      <x:c r="L33" s="22" t="n">
        <x:f>L32+K33</x:f>
        <x:v>-2050146826.041853</x:v>
      </x:c>
      <x:c r="M33" s="22" t="n">
        <x:v>0</x:v>
      </x:c>
      <x:c r="N33" s="22" t="n">
        <x:f>IF(AND(C33&gt;=1,C33&lt;1+Assumptions!D26),'Annual model'!D17-0,0)</x:f>
        <x:v>31793888.89548517</x:v>
      </x:c>
      <x:c r="O33" s="22" t="n">
        <x:f>IF(AND(C33&gt;=2,C33&lt;2+Assumptions!D26),'Annual model'!E17-'Annual model'!D17,0)</x:f>
        <x:v>80779855.65401429</x:v>
      </x:c>
      <x:c r="P33" s="22" t="n">
        <x:f>IF(AND(C33&gt;=3,C33&lt;3+Assumptions!D26),'Annual model'!F17-'Annual model'!E17,0)</x:f>
        <x:v>129247769.04642288</x:v>
      </x:c>
      <x:c r="Q33" s="22" t="n">
        <x:f>IF(AND(C33&gt;=4,C33&lt;4+Assumptions!D26),'Annual model'!G17-'Annual model'!F17,0)</x:f>
        <x:v>113091797.91562003</x:v>
      </x:c>
      <x:c r="R33" s="22" t="n">
        <x:f>IF(AND(C33&gt;=5,C33&lt;5+Assumptions!D26),'Annual model'!H17-'Annual model'!G17,0)</x:f>
        <x:v>0</x:v>
      </x:c>
      <x:c r="S33" s="32" t="n">
        <x:f>IF(AND(C33&gt;=6,C33&lt;6+Assumptions!D26),'Annual model'!I17-'Annual model'!H17,0)</x:f>
        <x:v>0</x:v>
      </x:c>
      <x:c r="T33" s="32" t="n">
        <x:f>IF(AND(C33&gt;=7,C33&lt;7+Assumptions!D26),'Annual model'!J17-'Annual model'!I17,0)</x:f>
        <x:v>0</x:v>
      </x:c>
      <x:c r="U33" s="32" t="n">
        <x:f>IF(AND(C33&gt;=8,C33&lt;8+Assumptions!D26),'Annual model'!K17-'Annual model'!J17,0)</x:f>
        <x:v>0</x:v>
      </x:c>
      <x:c r="V33" s="32" t="n">
        <x:f>IF(AND(C33&gt;=9,C33&lt;9+Assumptions!D26),'Annual model'!L17-'Annual model'!K17,0)</x:f>
        <x:v>0</x:v>
      </x:c>
      <x:c r="W33" s="32" t="n">
        <x:f>IF(AND(C33&gt;=10,C33&lt;10+Assumptions!D26),'Annual model'!M17-'Annual model'!L17,0)</x:f>
        <x:v>0</x:v>
      </x:c>
    </x:row>
    <x:row r="34">
      <x:c r="A34" s="1"/>
      <x:c r="B34" s="1"/>
      <x:c r="C34" s="1" t="n">
        <x:v>29</x:v>
      </x:c>
      <x:c r="D34" s="21" t="n">
        <x:f>'Annual model'!D22</x:f>
        <x:v>9525</x:v>
      </x:c>
      <x:c r="E34" s="22" t="n">
        <x:f>'Annual model'!M11*(1+Assumptions!D20)^(29-10)</x:f>
        <x:v>670746439.5267571</x:v>
      </x:c>
      <x:c r="F34" s="22" t="n">
        <x:f>'Annual model'!M14*(1+Assumptions!D20)^(29-10)</x:f>
        <x:v>440135898.8363884</x:v>
      </x:c>
      <x:c r="G34" s="22" t="n">
        <x:f>Assumptions!H7</x:f>
        <x:v>5000000</x:v>
      </x:c>
      <x:c r="H34" s="22" t="n">
        <x:f>SUM(N34:W34)</x:f>
        <x:v>354913311.5115424</x:v>
      </x:c>
      <x:c r="I34" s="22" t="n">
        <x:f>'Annual model'!M18*(1+Assumptions!H9)^(29-10)</x:f>
        <x:v>23979752.78473748</x:v>
      </x:c>
      <x:c r="J34" s="22" t="n">
        <x:f>E34*Assumptions!H8</x:f>
        <x:v>33537321.976337858</x:v>
      </x:c>
      <x:c r="K34" s="22" t="n">
        <x:f>F34+G34-H34-I34-J34-Assumptions!D28*MIN(1,D34/'Annual model'!D22)</x:f>
        <x:v>27705512.56377069</x:v>
      </x:c>
      <x:c r="L34" s="22" t="n">
        <x:f>L33+K34</x:f>
        <x:v>-2022441313.4780822</x:v>
      </x:c>
      <x:c r="M34" s="22" t="n">
        <x:v>0</x:v>
      </x:c>
      <x:c r="N34" s="22" t="n">
        <x:f>IF(AND(C34&gt;=1,C34&lt;1+Assumptions!D26),'Annual model'!D17-0,0)</x:f>
        <x:v>31793888.89548517</x:v>
      </x:c>
      <x:c r="O34" s="22" t="n">
        <x:f>IF(AND(C34&gt;=2,C34&lt;2+Assumptions!D26),'Annual model'!E17-'Annual model'!D17,0)</x:f>
        <x:v>80779855.65401429</x:v>
      </x:c>
      <x:c r="P34" s="22" t="n">
        <x:f>IF(AND(C34&gt;=3,C34&lt;3+Assumptions!D26),'Annual model'!F17-'Annual model'!E17,0)</x:f>
        <x:v>129247769.04642288</x:v>
      </x:c>
      <x:c r="Q34" s="22" t="n">
        <x:f>IF(AND(C34&gt;=4,C34&lt;4+Assumptions!D26),'Annual model'!G17-'Annual model'!F17,0)</x:f>
        <x:v>113091797.91562003</x:v>
      </x:c>
      <x:c r="R34" s="22" t="n">
        <x:f>IF(AND(C34&gt;=5,C34&lt;5+Assumptions!D26),'Annual model'!H17-'Annual model'!G17,0)</x:f>
        <x:v>0</x:v>
      </x:c>
      <x:c r="S34" s="32" t="n">
        <x:f>IF(AND(C34&gt;=6,C34&lt;6+Assumptions!D26),'Annual model'!I17-'Annual model'!H17,0)</x:f>
        <x:v>0</x:v>
      </x:c>
      <x:c r="T34" s="32" t="n">
        <x:f>IF(AND(C34&gt;=7,C34&lt;7+Assumptions!D26),'Annual model'!J17-'Annual model'!I17,0)</x:f>
        <x:v>0</x:v>
      </x:c>
      <x:c r="U34" s="32" t="n">
        <x:f>IF(AND(C34&gt;=8,C34&lt;8+Assumptions!D26),'Annual model'!K17-'Annual model'!J17,0)</x:f>
        <x:v>0</x:v>
      </x:c>
      <x:c r="V34" s="32" t="n">
        <x:f>IF(AND(C34&gt;=9,C34&lt;9+Assumptions!D26),'Annual model'!L17-'Annual model'!K17,0)</x:f>
        <x:v>0</x:v>
      </x:c>
      <x:c r="W34" s="32" t="n">
        <x:f>IF(AND(C34&gt;=10,C34&lt;10+Assumptions!D26),'Annual model'!M17-'Annual model'!L17,0)</x:f>
        <x:v>0</x:v>
      </x:c>
    </x:row>
    <x:row r="35">
      <x:c r="A35" s="1"/>
      <x:c r="B35" s="1"/>
      <x:c r="C35" s="38" t="n">
        <x:v>30</x:v>
      </x:c>
      <x:c r="D35" s="39" t="n">
        <x:f>'Annual model'!D22</x:f>
        <x:v>9525</x:v>
      </x:c>
      <x:c r="E35" s="40" t="n">
        <x:f>'Annual model'!M11*(1+Assumptions!D20)^(30-10)</x:f>
        <x:v>687515100.514926</x:v>
      </x:c>
      <x:c r="F35" s="40" t="n">
        <x:f>'Annual model'!M14*(1+Assumptions!D20)^(30-10)</x:f>
        <x:v>451139296.30729806</x:v>
      </x:c>
      <x:c r="G35" s="40" t="n">
        <x:f>Assumptions!H7</x:f>
        <x:v>5000000</x:v>
      </x:c>
      <x:c r="H35" s="40" t="n">
        <x:f>SUM(N35:W35)</x:f>
        <x:v>354913311.5115424</x:v>
      </x:c>
      <x:c r="I35" s="40" t="n">
        <x:f>'Annual model'!M18*(1+Assumptions!H9)^(30-10)</x:f>
        <x:v>24579246.604355913</x:v>
      </x:c>
      <x:c r="J35" s="40" t="n">
        <x:f>E35*Assumptions!H8</x:f>
        <x:v>34375755.0257463</x:v>
      </x:c>
      <x:c r="K35" s="40" t="n">
        <x:f>F35+G35-H35-I35-J35-Assumptions!D28*MIN(1,D35/'Annual model'!D22)</x:f>
        <x:v>37270983.16565347</x:v>
      </x:c>
      <x:c r="L35" s="40" t="n">
        <x:f>L34+K35</x:f>
        <x:v>-1985170330.3124287</x:v>
      </x:c>
      <x:c r="M35" s="40" t="n">
        <x:v>0</x:v>
      </x:c>
      <x:c r="N35" s="22" t="n">
        <x:f>IF(AND(C35&gt;=1,C35&lt;1+Assumptions!D26),'Annual model'!D17-0,0)</x:f>
        <x:v>31793888.89548517</x:v>
      </x:c>
      <x:c r="O35" s="22" t="n">
        <x:f>IF(AND(C35&gt;=2,C35&lt;2+Assumptions!D26),'Annual model'!E17-'Annual model'!D17,0)</x:f>
        <x:v>80779855.65401429</x:v>
      </x:c>
      <x:c r="P35" s="22" t="n">
        <x:f>IF(AND(C35&gt;=3,C35&lt;3+Assumptions!D26),'Annual model'!F17-'Annual model'!E17,0)</x:f>
        <x:v>129247769.04642288</x:v>
      </x:c>
      <x:c r="Q35" s="22" t="n">
        <x:f>IF(AND(C35&gt;=4,C35&lt;4+Assumptions!D26),'Annual model'!G17-'Annual model'!F17,0)</x:f>
        <x:v>113091797.91562003</x:v>
      </x:c>
      <x:c r="R35" s="22" t="n">
        <x:f>IF(AND(C35&gt;=5,C35&lt;5+Assumptions!D26),'Annual model'!H17-'Annual model'!G17,0)</x:f>
        <x:v>0</x:v>
      </x:c>
      <x:c r="S35" s="32" t="n">
        <x:f>IF(AND(C35&gt;=6,C35&lt;6+Assumptions!D26),'Annual model'!I17-'Annual model'!H17,0)</x:f>
        <x:v>0</x:v>
      </x:c>
      <x:c r="T35" s="32" t="n">
        <x:f>IF(AND(C35&gt;=7,C35&lt;7+Assumptions!D26),'Annual model'!J17-'Annual model'!I17,0)</x:f>
        <x:v>0</x:v>
      </x:c>
      <x:c r="U35" s="32" t="n">
        <x:f>IF(AND(C35&gt;=8,C35&lt;8+Assumptions!D26),'Annual model'!K17-'Annual model'!J17,0)</x:f>
        <x:v>0</x:v>
      </x:c>
      <x:c r="V35" s="32" t="n">
        <x:f>IF(AND(C35&gt;=9,C35&lt;9+Assumptions!D26),'Annual model'!L17-'Annual model'!K17,0)</x:f>
        <x:v>0</x:v>
      </x:c>
      <x:c r="W35" s="32" t="n">
        <x:f>IF(AND(C35&gt;=10,C35&lt;10+Assumptions!D26),'Annual model'!M17-'Annual model'!L17,0)</x:f>
        <x:v>0</x:v>
      </x:c>
    </x:row>
    <x:row r="36">
      <x:c r="A36" s="1"/>
      <x:c r="B36" s="1"/>
      <x:c r="C36" s="1" t="n">
        <x:v>31</x:v>
      </x:c>
      <x:c r="D36" s="21" t="n">
        <x:f>'Annual model'!D22</x:f>
        <x:v>9525</x:v>
      </x:c>
      <x:c r="E36" s="22" t="n">
        <x:f>'Annual model'!M11*(1+Assumptions!D20)^(31-10)</x:f>
        <x:v>704702978.0277991</x:v>
      </x:c>
      <x:c r="F36" s="22" t="n">
        <x:f>'Annual model'!M14*(1+Assumptions!D20)^(31-10)</x:f>
        <x:v>462417778.71498054</x:v>
      </x:c>
      <x:c r="G36" s="22" t="n">
        <x:f>Assumptions!H7</x:f>
        <x:v>5000000</x:v>
      </x:c>
      <x:c r="H36" s="22" t="n">
        <x:f>SUM(N36:W36)</x:f>
        <x:v>323119422.6160572</x:v>
      </x:c>
      <x:c r="I36" s="22" t="n">
        <x:f>'Annual model'!M18*(1+Assumptions!H9)^(31-10)</x:f>
        <x:v>25193727.769464813</x:v>
      </x:c>
      <x:c r="J36" s="22" t="n">
        <x:f>E36*Assumptions!H8</x:f>
        <x:v>35235148.90138996</x:v>
      </x:c>
      <x:c r="K36" s="22" t="n">
        <x:f>F36+G36-H36-I36-J36-Assumptions!D28*MIN(1,D36/'Annual model'!D22)</x:f>
        <x:v>78869479.42806855</x:v>
      </x:c>
      <x:c r="L36" s="22" t="n">
        <x:f>L35+K36</x:f>
        <x:v>-1906300850.88436</x:v>
      </x:c>
      <x:c r="M36" s="22" t="n">
        <x:v>0</x:v>
      </x:c>
      <x:c r="N36" s="22" t="n">
        <x:f>IF(AND(C36&gt;=1,C36&lt;1+Assumptions!D26),'Annual model'!D17-0,0)</x:f>
        <x:v>0</x:v>
      </x:c>
      <x:c r="O36" s="22" t="n">
        <x:f>IF(AND(C36&gt;=2,C36&lt;2+Assumptions!D26),'Annual model'!E17-'Annual model'!D17,0)</x:f>
        <x:v>80779855.65401429</x:v>
      </x:c>
      <x:c r="P36" s="22" t="n">
        <x:f>IF(AND(C36&gt;=3,C36&lt;3+Assumptions!D26),'Annual model'!F17-'Annual model'!E17,0)</x:f>
        <x:v>129247769.04642288</x:v>
      </x:c>
      <x:c r="Q36" s="22" t="n">
        <x:f>IF(AND(C36&gt;=4,C36&lt;4+Assumptions!D26),'Annual model'!G17-'Annual model'!F17,0)</x:f>
        <x:v>113091797.91562003</x:v>
      </x:c>
      <x:c r="R36" s="22" t="n">
        <x:f>IF(AND(C36&gt;=5,C36&lt;5+Assumptions!D26),'Annual model'!H17-'Annual model'!G17,0)</x:f>
        <x:v>0</x:v>
      </x:c>
      <x:c r="S36" s="32" t="n">
        <x:f>IF(AND(C36&gt;=6,C36&lt;6+Assumptions!D26),'Annual model'!I17-'Annual model'!H17,0)</x:f>
        <x:v>0</x:v>
      </x:c>
      <x:c r="T36" s="32" t="n">
        <x:f>IF(AND(C36&gt;=7,C36&lt;7+Assumptions!D26),'Annual model'!J17-'Annual model'!I17,0)</x:f>
        <x:v>0</x:v>
      </x:c>
      <x:c r="U36" s="32" t="n">
        <x:f>IF(AND(C36&gt;=8,C36&lt;8+Assumptions!D26),'Annual model'!K17-'Annual model'!J17,0)</x:f>
        <x:v>0</x:v>
      </x:c>
      <x:c r="V36" s="32" t="n">
        <x:f>IF(AND(C36&gt;=9,C36&lt;9+Assumptions!D26),'Annual model'!L17-'Annual model'!K17,0)</x:f>
        <x:v>0</x:v>
      </x:c>
      <x:c r="W36" s="32" t="n">
        <x:f>IF(AND(C36&gt;=10,C36&lt;10+Assumptions!D26),'Annual model'!M17-'Annual model'!L17,0)</x:f>
        <x:v>0</x:v>
      </x:c>
    </x:row>
    <x:row r="37">
      <x:c r="A37" s="1"/>
      <x:c r="B37" s="1"/>
      <x:c r="C37" s="1" t="n">
        <x:v>32</x:v>
      </x:c>
      <x:c r="D37" s="21" t="n">
        <x:f>'Annual model'!D22</x:f>
        <x:v>9525</x:v>
      </x:c>
      <x:c r="E37" s="22" t="n">
        <x:f>'Annual model'!M11*(1+Assumptions!D20)^(32-10)</x:f>
        <x:v>722320552.478494</x:v>
      </x:c>
      <x:c r="F37" s="22" t="n">
        <x:f>'Annual model'!M14*(1+Assumptions!D20)^(32-10)</x:f>
        <x:v>473978223.182855</x:v>
      </x:c>
      <x:c r="G37" s="22" t="n">
        <x:f>Assumptions!H7</x:f>
        <x:v>5000000</x:v>
      </x:c>
      <x:c r="H37" s="22" t="n">
        <x:f>SUM(N37:W37)</x:f>
        <x:v>242339566.96204293</x:v>
      </x:c>
      <x:c r="I37" s="22" t="n">
        <x:f>'Annual model'!M18*(1+Assumptions!H9)^(32-10)</x:f>
        <x:v>25823570.963701427</x:v>
      </x:c>
      <x:c r="J37" s="22" t="n">
        <x:f>E37*Assumptions!H8</x:f>
        <x:v>36116027.6239247</x:v>
      </x:c>
      <x:c r="K37" s="22" t="n">
        <x:f>F37+G37-H37-I37-J37-Assumptions!D28*MIN(1,D37/'Annual model'!D22)</x:f>
        <x:v>169699057.63318595</x:v>
      </x:c>
      <x:c r="L37" s="22" t="n">
        <x:f>L36+K37</x:f>
        <x:v>-1736601793.2511742</x:v>
      </x:c>
      <x:c r="M37" s="22" t="n">
        <x:v>0</x:v>
      </x:c>
      <x:c r="N37" s="22" t="n">
        <x:f>IF(AND(C37&gt;=1,C37&lt;1+Assumptions!D26),'Annual model'!D17-0,0)</x:f>
        <x:v>0</x:v>
      </x:c>
      <x:c r="O37" s="22" t="n">
        <x:f>IF(AND(C37&gt;=2,C37&lt;2+Assumptions!D26),'Annual model'!E17-'Annual model'!D17,0)</x:f>
        <x:v>0</x:v>
      </x:c>
      <x:c r="P37" s="22" t="n">
        <x:f>IF(AND(C37&gt;=3,C37&lt;3+Assumptions!D26),'Annual model'!F17-'Annual model'!E17,0)</x:f>
        <x:v>129247769.04642288</x:v>
      </x:c>
      <x:c r="Q37" s="22" t="n">
        <x:f>IF(AND(C37&gt;=4,C37&lt;4+Assumptions!D26),'Annual model'!G17-'Annual model'!F17,0)</x:f>
        <x:v>113091797.91562003</x:v>
      </x:c>
      <x:c r="R37" s="22" t="n">
        <x:f>IF(AND(C37&gt;=5,C37&lt;5+Assumptions!D26),'Annual model'!H17-'Annual model'!G17,0)</x:f>
        <x:v>0</x:v>
      </x:c>
      <x:c r="S37" s="32" t="n">
        <x:f>IF(AND(C37&gt;=6,C37&lt;6+Assumptions!D26),'Annual model'!I17-'Annual model'!H17,0)</x:f>
        <x:v>0</x:v>
      </x:c>
      <x:c r="T37" s="32" t="n">
        <x:f>IF(AND(C37&gt;=7,C37&lt;7+Assumptions!D26),'Annual model'!J17-'Annual model'!I17,0)</x:f>
        <x:v>0</x:v>
      </x:c>
      <x:c r="U37" s="32" t="n">
        <x:f>IF(AND(C37&gt;=8,C37&lt;8+Assumptions!D26),'Annual model'!K17-'Annual model'!J17,0)</x:f>
        <x:v>0</x:v>
      </x:c>
      <x:c r="V37" s="32" t="n">
        <x:f>IF(AND(C37&gt;=9,C37&lt;9+Assumptions!D26),'Annual model'!L17-'Annual model'!K17,0)</x:f>
        <x:v>0</x:v>
      </x:c>
      <x:c r="W37" s="32" t="n">
        <x:f>IF(AND(C37&gt;=10,C37&lt;10+Assumptions!D26),'Annual model'!M17-'Annual model'!L17,0)</x:f>
        <x:v>0</x:v>
      </x:c>
    </x:row>
    <x:row r="38">
      <x:c r="A38" s="1"/>
      <x:c r="B38" s="1"/>
      <x:c r="C38" s="1" t="n">
        <x:v>33</x:v>
      </x:c>
      <x:c r="D38" s="21" t="n">
        <x:f>'Annual model'!D22</x:f>
        <x:v>9525</x:v>
      </x:c>
      <x:c r="E38" s="22" t="n">
        <x:f>'Annual model'!M11*(1+Assumptions!D20)^(33-10)</x:f>
        <x:v>740378566.2904563</x:v>
      </x:c>
      <x:c r="F38" s="22" t="n">
        <x:f>'Annual model'!M14*(1+Assumptions!D20)^(33-10)</x:f>
        <x:v>485827678.7624263</x:v>
      </x:c>
      <x:c r="G38" s="22" t="n">
        <x:f>Assumptions!H7</x:f>
        <x:v>5000000</x:v>
      </x:c>
      <x:c r="H38" s="22" t="n">
        <x:f>SUM(N38:W38)</x:f>
        <x:v>113091797.91562003</x:v>
      </x:c>
      <x:c r="I38" s="22" t="n">
        <x:f>'Annual model'!M18*(1+Assumptions!H9)^(33-10)</x:f>
        <x:v>26469160.237793963</x:v>
      </x:c>
      <x:c r="J38" s="22" t="n">
        <x:f>E38*Assumptions!H8</x:f>
        <x:v>37018928.31452282</x:v>
      </x:c>
      <x:c r="K38" s="22" t="n">
        <x:f>F38+G38-H38-I38-J38-Assumptions!D28*MIN(1,D38/'Annual model'!D22)</x:f>
        <x:v>309247792.2944895</x:v>
      </x:c>
      <x:c r="L38" s="22" t="n">
        <x:f>L37+K38</x:f>
        <x:v>-1427354000.9566846</x:v>
      </x:c>
      <x:c r="M38" s="22" t="n">
        <x:v>0</x:v>
      </x:c>
      <x:c r="N38" s="22" t="n">
        <x:f>IF(AND(C38&gt;=1,C38&lt;1+Assumptions!D26),'Annual model'!D17-0,0)</x:f>
        <x:v>0</x:v>
      </x:c>
      <x:c r="O38" s="22" t="n">
        <x:f>IF(AND(C38&gt;=2,C38&lt;2+Assumptions!D26),'Annual model'!E17-'Annual model'!D17,0)</x:f>
        <x:v>0</x:v>
      </x:c>
      <x:c r="P38" s="22" t="n">
        <x:f>IF(AND(C38&gt;=3,C38&lt;3+Assumptions!D26),'Annual model'!F17-'Annual model'!E17,0)</x:f>
        <x:v>0</x:v>
      </x:c>
      <x:c r="Q38" s="22" t="n">
        <x:f>IF(AND(C38&gt;=4,C38&lt;4+Assumptions!D26),'Annual model'!G17-'Annual model'!F17,0)</x:f>
        <x:v>113091797.91562003</x:v>
      </x:c>
      <x:c r="R38" s="22" t="n">
        <x:f>IF(AND(C38&gt;=5,C38&lt;5+Assumptions!D26),'Annual model'!H17-'Annual model'!G17,0)</x:f>
        <x:v>0</x:v>
      </x:c>
      <x:c r="S38" s="32" t="n">
        <x:f>IF(AND(C38&gt;=6,C38&lt;6+Assumptions!D26),'Annual model'!I17-'Annual model'!H17,0)</x:f>
        <x:v>0</x:v>
      </x:c>
      <x:c r="T38" s="32" t="n">
        <x:f>IF(AND(C38&gt;=7,C38&lt;7+Assumptions!D26),'Annual model'!J17-'Annual model'!I17,0)</x:f>
        <x:v>0</x:v>
      </x:c>
      <x:c r="U38" s="32" t="n">
        <x:f>IF(AND(C38&gt;=8,C38&lt;8+Assumptions!D26),'Annual model'!K17-'Annual model'!J17,0)</x:f>
        <x:v>0</x:v>
      </x:c>
      <x:c r="V38" s="32" t="n">
        <x:f>IF(AND(C38&gt;=9,C38&lt;9+Assumptions!D26),'Annual model'!L17-'Annual model'!K17,0)</x:f>
        <x:v>0</x:v>
      </x:c>
      <x:c r="W38" s="32" t="n">
        <x:f>IF(AND(C38&gt;=10,C38&lt;10+Assumptions!D26),'Annual model'!M17-'Annual model'!L17,0)</x:f>
        <x:v>0</x:v>
      </x:c>
    </x:row>
    <x:row r="39">
      <x:c r="A39" s="1"/>
      <x:c r="B39" s="1"/>
      <x:c r="C39" s="1" t="n">
        <x:v>34</x:v>
      </x:c>
      <x:c r="D39" s="21" t="n">
        <x:f>'Annual model'!D22</x:f>
        <x:v>9525</x:v>
      </x:c>
      <x:c r="E39" s="22" t="n">
        <x:f>'Annual model'!M11*(1+Assumptions!D20)^(34-10)</x:f>
        <x:v>758888030.4477177</x:v>
      </x:c>
      <x:c r="F39" s="22" t="n">
        <x:f>'Annual model'!M14*(1+Assumptions!D20)^(34-10)</x:f>
        <x:v>497973370.7314869</x:v>
      </x:c>
      <x:c r="G39" s="22" t="n">
        <x:f>Assumptions!H7</x:f>
        <x:v>5000000</x:v>
      </x:c>
      <x:c r="H39" s="22" t="n">
        <x:f>SUM(N39:W39)</x:f>
        <x:v>0</x:v>
      </x:c>
      <x:c r="I39" s="22" t="n">
        <x:f>'Annual model'!M18*(1+Assumptions!H9)^(34-10)</x:f>
        <x:v>27130889.243738808</x:v>
      </x:c>
      <x:c r="J39" s="22" t="n">
        <x:f>E39*Assumptions!H8</x:f>
        <x:v>37944401.52238589</x:v>
      </x:c>
      <x:c r="K39" s="22" t="n">
        <x:f>F39+G39-H39-I39-J39-Assumptions!D28*MIN(1,D39/'Annual model'!D22)</x:f>
        <x:v>432898079.9653622</x:v>
      </x:c>
      <x:c r="L39" s="22" t="n">
        <x:f>L38+K39</x:f>
        <x:v>-994455920.9913224</x:v>
      </x:c>
      <x:c r="M39" s="22" t="n">
        <x:v>0</x:v>
      </x:c>
      <x:c r="N39" s="22" t="n">
        <x:f>IF(AND(C39&gt;=1,C39&lt;1+Assumptions!D26),'Annual model'!D17-0,0)</x:f>
        <x:v>0</x:v>
      </x:c>
      <x:c r="O39" s="22" t="n">
        <x:f>IF(AND(C39&gt;=2,C39&lt;2+Assumptions!D26),'Annual model'!E17-'Annual model'!D17,0)</x:f>
        <x:v>0</x:v>
      </x:c>
      <x:c r="P39" s="22" t="n">
        <x:f>IF(AND(C39&gt;=3,C39&lt;3+Assumptions!D26),'Annual model'!F17-'Annual model'!E17,0)</x:f>
        <x:v>0</x:v>
      </x:c>
      <x:c r="Q39" s="22" t="n">
        <x:f>IF(AND(C39&gt;=4,C39&lt;4+Assumptions!D26),'Annual model'!G17-'Annual model'!F17,0)</x:f>
        <x:v>0</x:v>
      </x:c>
      <x:c r="R39" s="22" t="n">
        <x:f>IF(AND(C39&gt;=5,C39&lt;5+Assumptions!D26),'Annual model'!H17-'Annual model'!G17,0)</x:f>
        <x:v>0</x:v>
      </x:c>
      <x:c r="S39" s="32" t="n">
        <x:f>IF(AND(C39&gt;=6,C39&lt;6+Assumptions!D26),'Annual model'!I17-'Annual model'!H17,0)</x:f>
        <x:v>0</x:v>
      </x:c>
      <x:c r="T39" s="32" t="n">
        <x:f>IF(AND(C39&gt;=7,C39&lt;7+Assumptions!D26),'Annual model'!J17-'Annual model'!I17,0)</x:f>
        <x:v>0</x:v>
      </x:c>
      <x:c r="U39" s="32" t="n">
        <x:f>IF(AND(C39&gt;=8,C39&lt;8+Assumptions!D26),'Annual model'!K17-'Annual model'!J17,0)</x:f>
        <x:v>0</x:v>
      </x:c>
      <x:c r="V39" s="32" t="n">
        <x:f>IF(AND(C39&gt;=9,C39&lt;9+Assumptions!D26),'Annual model'!L17-'Annual model'!K17,0)</x:f>
        <x:v>0</x:v>
      </x:c>
      <x:c r="W39" s="32" t="n">
        <x:f>IF(AND(C39&gt;=10,C39&lt;10+Assumptions!D26),'Annual model'!M17-'Annual model'!L17,0)</x:f>
        <x:v>0</x:v>
      </x:c>
    </x:row>
    <x:row r="40">
      <x:c r="A40" s="1"/>
      <x:c r="B40" s="1"/>
      <x:c r="C40" s="1" t="n">
        <x:v>35</x:v>
      </x:c>
      <x:c r="D40" s="21" t="n">
        <x:f>'Annual model'!D22</x:f>
        <x:v>9525</x:v>
      </x:c>
      <x:c r="E40" s="22" t="n">
        <x:f>'Annual model'!M11*(1+Assumptions!D20)^(35-10)</x:f>
        <x:v>777860231.2089106</x:v>
      </x:c>
      <x:c r="F40" s="22" t="n">
        <x:f>'Annual model'!M14*(1+Assumptions!D20)^(35-10)</x:f>
        <x:v>510422704.9997741</x:v>
      </x:c>
      <x:c r="G40" s="22" t="n">
        <x:f>Assumptions!H7</x:f>
        <x:v>5000000</x:v>
      </x:c>
      <x:c r="H40" s="22" t="n">
        <x:f>SUM(N40:W40)</x:f>
        <x:v>0</x:v>
      </x:c>
      <x:c r="I40" s="22" t="n">
        <x:f>'Annual model'!M18*(1+Assumptions!H9)^(35-10)</x:f>
        <x:v>27809161.474832278</x:v>
      </x:c>
      <x:c r="J40" s="22" t="n">
        <x:f>E40*Assumptions!H8</x:f>
        <x:v>38893011.56044553</x:v>
      </x:c>
      <x:c r="K40" s="22" t="n">
        <x:f>F40+G40-H40-I40-J40-Assumptions!D28*MIN(1,D40/'Annual model'!D22)</x:f>
        <x:v>443720531.96449625</x:v>
      </x:c>
      <x:c r="L40" s="22" t="n">
        <x:f>L39+K40</x:f>
        <x:v>-550735389.0268261</x:v>
      </x:c>
      <x:c r="M40" s="22" t="n">
        <x:v>0</x:v>
      </x:c>
      <x:c r="N40" s="22" t="n">
        <x:f>IF(AND(C40&gt;=1,C40&lt;1+Assumptions!D26),'Annual model'!D17-0,0)</x:f>
        <x:v>0</x:v>
      </x:c>
      <x:c r="O40" s="22" t="n">
        <x:f>IF(AND(C40&gt;=2,C40&lt;2+Assumptions!D26),'Annual model'!E17-'Annual model'!D17,0)</x:f>
        <x:v>0</x:v>
      </x:c>
      <x:c r="P40" s="22" t="n">
        <x:f>IF(AND(C40&gt;=3,C40&lt;3+Assumptions!D26),'Annual model'!F17-'Annual model'!E17,0)</x:f>
        <x:v>0</x:v>
      </x:c>
      <x:c r="Q40" s="22" t="n">
        <x:f>IF(AND(C40&gt;=4,C40&lt;4+Assumptions!D26),'Annual model'!G17-'Annual model'!F17,0)</x:f>
        <x:v>0</x:v>
      </x:c>
      <x:c r="R40" s="22" t="n">
        <x:f>IF(AND(C40&gt;=5,C40&lt;5+Assumptions!D26),'Annual model'!H17-'Annual model'!G17,0)</x:f>
        <x:v>0</x:v>
      </x:c>
      <x:c r="S40" s="32" t="n">
        <x:f>IF(AND(C40&gt;=6,C40&lt;6+Assumptions!D26),'Annual model'!I17-'Annual model'!H17,0)</x:f>
        <x:v>0</x:v>
      </x:c>
      <x:c r="T40" s="32" t="n">
        <x:f>IF(AND(C40&gt;=7,C40&lt;7+Assumptions!D26),'Annual model'!J17-'Annual model'!I17,0)</x:f>
        <x:v>0</x:v>
      </x:c>
      <x:c r="U40" s="32" t="n">
        <x:f>IF(AND(C40&gt;=8,C40&lt;8+Assumptions!D26),'Annual model'!K17-'Annual model'!J17,0)</x:f>
        <x:v>0</x:v>
      </x:c>
      <x:c r="V40" s="32" t="n">
        <x:f>IF(AND(C40&gt;=9,C40&lt;9+Assumptions!D26),'Annual model'!L17-'Annual model'!K17,0)</x:f>
        <x:v>0</x:v>
      </x:c>
      <x:c r="W40" s="32" t="n">
        <x:f>IF(AND(C40&gt;=10,C40&lt;10+Assumptions!D26),'Annual model'!M17-'Annual model'!L17,0)</x:f>
        <x:v>0</x:v>
      </x:c>
    </x:row>
    <x:row r="41">
      <x:c r="A41" s="1"/>
      <x:c r="B41" s="1"/>
      <x:c r="C41" s="1" t="n">
        <x:v>36</x:v>
      </x:c>
      <x:c r="D41" s="21" t="n">
        <x:f>'Annual model'!D22</x:f>
        <x:v>9525</x:v>
      </x:c>
      <x:c r="E41" s="22" t="n">
        <x:f>'Annual model'!M11*(1+Assumptions!D20)^(36-10)</x:f>
        <x:v>797306736.9891332</x:v>
      </x:c>
      <x:c r="F41" s="22" t="n">
        <x:f>'Annual model'!M14*(1+Assumptions!D20)^(36-10)</x:f>
        <x:v>523183272.6247684</x:v>
      </x:c>
      <x:c r="G41" s="22" t="n">
        <x:f>Assumptions!H7</x:f>
        <x:v>5000000</x:v>
      </x:c>
      <x:c r="H41" s="22" t="n">
        <x:f>SUM(N41:W41)</x:f>
        <x:v>0</x:v>
      </x:c>
      <x:c r="I41" s="22" t="n">
        <x:f>'Annual model'!M18*(1+Assumptions!H9)^(36-10)</x:f>
        <x:v>28504390.511703078</x:v>
      </x:c>
      <x:c r="J41" s="22" t="n">
        <x:f>E41*Assumptions!H8</x:f>
        <x:v>39865336.84945666</x:v>
      </x:c>
      <x:c r="K41" s="22" t="n">
        <x:f>F41+G41-H41-I41-J41-Assumptions!D28*MIN(1,D41/'Annual model'!D22)</x:f>
        <x:v>454813545.26360863</x:v>
      </x:c>
      <x:c r="L41" s="22" t="n">
        <x:f>L40+K41</x:f>
        <x:v>-95921843.76321751</x:v>
      </x:c>
      <x:c r="M41" s="22" t="n">
        <x:v>0</x:v>
      </x:c>
      <x:c r="N41" s="22" t="n">
        <x:f>IF(AND(C41&gt;=1,C41&lt;1+Assumptions!D26),'Annual model'!D17-0,0)</x:f>
        <x:v>0</x:v>
      </x:c>
      <x:c r="O41" s="22" t="n">
        <x:f>IF(AND(C41&gt;=2,C41&lt;2+Assumptions!D26),'Annual model'!E17-'Annual model'!D17,0)</x:f>
        <x:v>0</x:v>
      </x:c>
      <x:c r="P41" s="22" t="n">
        <x:f>IF(AND(C41&gt;=3,C41&lt;3+Assumptions!D26),'Annual model'!F17-'Annual model'!E17,0)</x:f>
        <x:v>0</x:v>
      </x:c>
      <x:c r="Q41" s="22" t="n">
        <x:f>IF(AND(C41&gt;=4,C41&lt;4+Assumptions!D26),'Annual model'!G17-'Annual model'!F17,0)</x:f>
        <x:v>0</x:v>
      </x:c>
      <x:c r="R41" s="22" t="n">
        <x:f>IF(AND(C41&gt;=5,C41&lt;5+Assumptions!D26),'Annual model'!H17-'Annual model'!G17,0)</x:f>
        <x:v>0</x:v>
      </x:c>
      <x:c r="S41" s="32" t="n">
        <x:f>IF(AND(C41&gt;=6,C41&lt;6+Assumptions!D26),'Annual model'!I17-'Annual model'!H17,0)</x:f>
        <x:v>0</x:v>
      </x:c>
      <x:c r="T41" s="32" t="n">
        <x:f>IF(AND(C41&gt;=7,C41&lt;7+Assumptions!D26),'Annual model'!J17-'Annual model'!I17,0)</x:f>
        <x:v>0</x:v>
      </x:c>
      <x:c r="U41" s="32" t="n">
        <x:f>IF(AND(C41&gt;=8,C41&lt;8+Assumptions!D26),'Annual model'!K17-'Annual model'!J17,0)</x:f>
        <x:v>0</x:v>
      </x:c>
      <x:c r="V41" s="32" t="n">
        <x:f>IF(AND(C41&gt;=9,C41&lt;9+Assumptions!D26),'Annual model'!L17-'Annual model'!K17,0)</x:f>
        <x:v>0</x:v>
      </x:c>
      <x:c r="W41" s="32" t="n">
        <x:f>IF(AND(C41&gt;=10,C41&lt;10+Assumptions!D26),'Annual model'!M17-'Annual model'!L17,0)</x:f>
        <x:v>0</x:v>
      </x:c>
    </x:row>
    <x:row r="42">
      <x:c r="A42" s="1"/>
      <x:c r="B42" s="1"/>
      <x:c r="C42" s="1" t="n">
        <x:v>37</x:v>
      </x:c>
      <x:c r="D42" s="21" t="n">
        <x:f>'Annual model'!D22</x:f>
        <x:v>9525</x:v>
      </x:c>
      <x:c r="E42" s="22" t="n">
        <x:f>'Annual model'!M11*(1+Assumptions!D20)^(37-10)</x:f>
        <x:v>817239405.4138615</x:v>
      </x:c>
      <x:c r="F42" s="22" t="n">
        <x:f>'Annual model'!M14*(1+Assumptions!D20)^(37-10)</x:f>
        <x:v>536262854.44038755</x:v>
      </x:c>
      <x:c r="G42" s="22" t="n">
        <x:f>Assumptions!H7</x:f>
        <x:v>5000000</x:v>
      </x:c>
      <x:c r="H42" s="22" t="n">
        <x:f>SUM(N42:W42)</x:f>
        <x:v>0</x:v>
      </x:c>
      <x:c r="I42" s="22" t="n">
        <x:f>'Annual model'!M18*(1+Assumptions!H9)^(37-10)</x:f>
        <x:v>29217000.274495658</x:v>
      </x:c>
      <x:c r="J42" s="22" t="n">
        <x:f>E42*Assumptions!H8</x:f>
        <x:v>40861970.27069308</x:v>
      </x:c>
      <x:c r="K42" s="22" t="n">
        <x:f>F42+G42-H42-I42-J42-Assumptions!D28*MIN(1,D42/'Annual model'!D22)</x:f>
        <x:v>466183883.89519876</x:v>
      </x:c>
      <x:c r="L42" s="22" t="n">
        <x:f>L41+K42</x:f>
        <x:v>370262040.13198125</x:v>
      </x:c>
      <x:c r="M42" s="22" t="n">
        <x:v>0</x:v>
      </x:c>
      <x:c r="N42" s="22" t="n">
        <x:f>IF(AND(C42&gt;=1,C42&lt;1+Assumptions!D26),'Annual model'!D17-0,0)</x:f>
        <x:v>0</x:v>
      </x:c>
      <x:c r="O42" s="22" t="n">
        <x:f>IF(AND(C42&gt;=2,C42&lt;2+Assumptions!D26),'Annual model'!E17-'Annual model'!D17,0)</x:f>
        <x:v>0</x:v>
      </x:c>
      <x:c r="P42" s="22" t="n">
        <x:f>IF(AND(C42&gt;=3,C42&lt;3+Assumptions!D26),'Annual model'!F17-'Annual model'!E17,0)</x:f>
        <x:v>0</x:v>
      </x:c>
      <x:c r="Q42" s="22" t="n">
        <x:f>IF(AND(C42&gt;=4,C42&lt;4+Assumptions!D26),'Annual model'!G17-'Annual model'!F17,0)</x:f>
        <x:v>0</x:v>
      </x:c>
      <x:c r="R42" s="22" t="n">
        <x:f>IF(AND(C42&gt;=5,C42&lt;5+Assumptions!D26),'Annual model'!H17-'Annual model'!G17,0)</x:f>
        <x:v>0</x:v>
      </x:c>
      <x:c r="S42" s="32" t="n">
        <x:f>IF(AND(C42&gt;=6,C42&lt;6+Assumptions!D26),'Annual model'!I17-'Annual model'!H17,0)</x:f>
        <x:v>0</x:v>
      </x:c>
      <x:c r="T42" s="32" t="n">
        <x:f>IF(AND(C42&gt;=7,C42&lt;7+Assumptions!D26),'Annual model'!J17-'Annual model'!I17,0)</x:f>
        <x:v>0</x:v>
      </x:c>
      <x:c r="U42" s="32" t="n">
        <x:f>IF(AND(C42&gt;=8,C42&lt;8+Assumptions!D26),'Annual model'!K17-'Annual model'!J17,0)</x:f>
        <x:v>0</x:v>
      </x:c>
      <x:c r="V42" s="32" t="n">
        <x:f>IF(AND(C42&gt;=9,C42&lt;9+Assumptions!D26),'Annual model'!L17-'Annual model'!K17,0)</x:f>
        <x:v>0</x:v>
      </x:c>
      <x:c r="W42" s="32" t="n">
        <x:f>IF(AND(C42&gt;=10,C42&lt;10+Assumptions!D26),'Annual model'!M17-'Annual model'!L17,0)</x:f>
        <x:v>0</x:v>
      </x:c>
    </x:row>
    <x:row r="43">
      <x:c r="A43" s="1"/>
      <x:c r="B43" s="1"/>
      <x:c r="C43" s="1" t="n">
        <x:v>38</x:v>
      </x:c>
      <x:c r="D43" s="21" t="n">
        <x:f>'Annual model'!D22</x:f>
        <x:v>9525</x:v>
      </x:c>
      <x:c r="E43" s="22" t="n">
        <x:f>'Annual model'!M11*(1+Assumptions!D20)^(38-10)</x:f>
        <x:v>837670390.549208</x:v>
      </x:c>
      <x:c r="F43" s="22" t="n">
        <x:f>'Annual model'!M14*(1+Assumptions!D20)^(38-10)</x:f>
        <x:v>549669425.8013972</x:v>
      </x:c>
      <x:c r="G43" s="22" t="n">
        <x:f>Assumptions!H7</x:f>
        <x:v>5000000</x:v>
      </x:c>
      <x:c r="H43" s="22" t="n">
        <x:f>SUM(N43:W43)</x:f>
        <x:v>0</x:v>
      </x:c>
      <x:c r="I43" s="22" t="n">
        <x:f>'Annual model'!M18*(1+Assumptions!H9)^(38-10)</x:f>
        <x:v>29947425.281358045</x:v>
      </x:c>
      <x:c r="J43" s="22" t="n">
        <x:f>E43*Assumptions!H8</x:f>
        <x:v>41883519.527460404</x:v>
      </x:c>
      <x:c r="K43" s="22" t="n">
        <x:f>F43+G43-H43-I43-J43-Assumptions!D28*MIN(1,D43/'Annual model'!D22)</x:f>
        <x:v>477838480.99257874</x:v>
      </x:c>
      <x:c r="L43" s="22" t="n">
        <x:f>L42+K43</x:f>
        <x:v>848100521.12456</x:v>
      </x:c>
      <x:c r="M43" s="22" t="n">
        <x:v>0</x:v>
      </x:c>
      <x:c r="N43" s="22" t="n">
        <x:f>IF(AND(C43&gt;=1,C43&lt;1+Assumptions!D26),'Annual model'!D17-0,0)</x:f>
        <x:v>0</x:v>
      </x:c>
      <x:c r="O43" s="22" t="n">
        <x:f>IF(AND(C43&gt;=2,C43&lt;2+Assumptions!D26),'Annual model'!E17-'Annual model'!D17,0)</x:f>
        <x:v>0</x:v>
      </x:c>
      <x:c r="P43" s="22" t="n">
        <x:f>IF(AND(C43&gt;=3,C43&lt;3+Assumptions!D26),'Annual model'!F17-'Annual model'!E17,0)</x:f>
        <x:v>0</x:v>
      </x:c>
      <x:c r="Q43" s="22" t="n">
        <x:f>IF(AND(C43&gt;=4,C43&lt;4+Assumptions!D26),'Annual model'!G17-'Annual model'!F17,0)</x:f>
        <x:v>0</x:v>
      </x:c>
      <x:c r="R43" s="22" t="n">
        <x:f>IF(AND(C43&gt;=5,C43&lt;5+Assumptions!D26),'Annual model'!H17-'Annual model'!G17,0)</x:f>
        <x:v>0</x:v>
      </x:c>
      <x:c r="S43" s="32" t="n">
        <x:f>IF(AND(C43&gt;=6,C43&lt;6+Assumptions!D26),'Annual model'!I17-'Annual model'!H17,0)</x:f>
        <x:v>0</x:v>
      </x:c>
      <x:c r="T43" s="32" t="n">
        <x:f>IF(AND(C43&gt;=7,C43&lt;7+Assumptions!D26),'Annual model'!J17-'Annual model'!I17,0)</x:f>
        <x:v>0</x:v>
      </x:c>
      <x:c r="U43" s="32" t="n">
        <x:f>IF(AND(C43&gt;=8,C43&lt;8+Assumptions!D26),'Annual model'!K17-'Annual model'!J17,0)</x:f>
        <x:v>0</x:v>
      </x:c>
      <x:c r="V43" s="32" t="n">
        <x:f>IF(AND(C43&gt;=9,C43&lt;9+Assumptions!D26),'Annual model'!L17-'Annual model'!K17,0)</x:f>
        <x:v>0</x:v>
      </x:c>
      <x:c r="W43" s="32" t="n">
        <x:f>IF(AND(C43&gt;=10,C43&lt;10+Assumptions!D26),'Annual model'!M17-'Annual model'!L17,0)</x:f>
        <x:v>0</x:v>
      </x:c>
    </x:row>
    <x:row r="44">
      <x:c r="A44" s="1"/>
      <x:c r="B44" s="1"/>
      <x:c r="C44" s="38" t="n">
        <x:v>39</x:v>
      </x:c>
      <x:c r="D44" s="39" t="n">
        <x:f>'Annual model'!D22</x:f>
        <x:v>9525</x:v>
      </x:c>
      <x:c r="E44" s="40" t="n">
        <x:f>'Annual model'!M11*(1+Assumptions!D20)^(39-10)</x:f>
        <x:v>858612150.3129381</x:v>
      </x:c>
      <x:c r="F44" s="40" t="n">
        <x:f>'Annual model'!M14*(1+Assumptions!D20)^(39-10)</x:f>
        <x:v>563411161.4464321</x:v>
      </x:c>
      <x:c r="G44" s="40" t="n">
        <x:f>Assumptions!H7</x:f>
        <x:v>5000000</x:v>
      </x:c>
      <x:c r="H44" s="40" t="n">
        <x:f>SUM(N44:W44)</x:f>
        <x:v>0</x:v>
      </x:c>
      <x:c r="I44" s="40" t="n">
        <x:f>'Annual model'!M18*(1+Assumptions!H9)^(39-10)</x:f>
        <x:v>30696110.913391992</x:v>
      </x:c>
      <x:c r="J44" s="40" t="n">
        <x:f>E44*Assumptions!H8</x:f>
        <x:v>42930607.515646905</x:v>
      </x:c>
      <x:c r="K44" s="40" t="n">
        <x:f>F44+G44-H44-I44-J44-Assumptions!D28*MIN(1,D44/'Annual model'!D22)</x:f>
        <x:v>489784443.01739323</x:v>
      </x:c>
      <x:c r="L44" s="40" t="n">
        <x:f>L43+K44</x:f>
        <x:v>1337884964.1419532</x:v>
      </x:c>
      <x:c r="M44" s="40" t="n">
        <x:v>0</x:v>
      </x:c>
      <x:c r="N44" s="22" t="n">
        <x:f>IF(AND(C44&gt;=1,C44&lt;1+Assumptions!D26),'Annual model'!D17-0,0)</x:f>
        <x:v>0</x:v>
      </x:c>
      <x:c r="O44" s="22" t="n">
        <x:f>IF(AND(C44&gt;=2,C44&lt;2+Assumptions!D26),'Annual model'!E17-'Annual model'!D17,0)</x:f>
        <x:v>0</x:v>
      </x:c>
      <x:c r="P44" s="22" t="n">
        <x:f>IF(AND(C44&gt;=3,C44&lt;3+Assumptions!D26),'Annual model'!F17-'Annual model'!E17,0)</x:f>
        <x:v>0</x:v>
      </x:c>
      <x:c r="Q44" s="22" t="n">
        <x:f>IF(AND(C44&gt;=4,C44&lt;4+Assumptions!D26),'Annual model'!G17-'Annual model'!F17,0)</x:f>
        <x:v>0</x:v>
      </x:c>
      <x:c r="R44" s="22" t="n">
        <x:f>IF(AND(C44&gt;=5,C44&lt;5+Assumptions!D26),'Annual model'!H17-'Annual model'!G17,0)</x:f>
        <x:v>0</x:v>
      </x:c>
      <x:c r="S44" s="32" t="n">
        <x:f>IF(AND(C44&gt;=6,C44&lt;6+Assumptions!D26),'Annual model'!I17-'Annual model'!H17,0)</x:f>
        <x:v>0</x:v>
      </x:c>
      <x:c r="T44" s="32" t="n">
        <x:f>IF(AND(C44&gt;=7,C44&lt;7+Assumptions!D26),'Annual model'!J17-'Annual model'!I17,0)</x:f>
        <x:v>0</x:v>
      </x:c>
      <x:c r="U44" s="32" t="n">
        <x:f>IF(AND(C44&gt;=8,C44&lt;8+Assumptions!D26),'Annual model'!K17-'Annual model'!J17,0)</x:f>
        <x:v>0</x:v>
      </x:c>
      <x:c r="V44" s="32" t="n">
        <x:f>IF(AND(C44&gt;=9,C44&lt;9+Assumptions!D26),'Annual model'!L17-'Annual model'!K17,0)</x:f>
        <x:v>0</x:v>
      </x:c>
      <x:c r="W44" s="32" t="n">
        <x:f>IF(AND(C44&gt;=10,C44&lt;10+Assumptions!D26),'Annual model'!M17-'Annual model'!L17,0)</x:f>
        <x:v>0</x:v>
      </x:c>
    </x:row>
    <x:row r="45">
      <x:c r="A45" s="1"/>
      <x:c r="B45" s="1"/>
      <x:c r="C45" s="38" t="n">
        <x:v>40</x:v>
      </x:c>
      <x:c r="D45" s="39" t="n">
        <x:f>'Annual model'!D22</x:f>
        <x:v>9525</x:v>
      </x:c>
      <x:c r="E45" s="40" t="n">
        <x:f>'Annual model'!M11*(1+Assumptions!D20)^(40-10)</x:f>
        <x:v>880077454.0707614</x:v>
      </x:c>
      <x:c r="F45" s="40" t="n">
        <x:f>'Annual model'!M14*(1+Assumptions!D20)^(40-10)</x:f>
        <x:v>577496440.4825928</x:v>
      </x:c>
      <x:c r="G45" s="40" t="n">
        <x:f>Assumptions!H7</x:f>
        <x:v>5000000</x:v>
      </x:c>
      <x:c r="H45" s="40" t="n">
        <x:f>SUM(N45:W45)</x:f>
        <x:v>0</x:v>
      </x:c>
      <x:c r="I45" s="40" t="n">
        <x:f>'Annual model'!M18*(1+Assumptions!H9)^(40-10)</x:f>
        <x:v>31463513.68622679</x:v>
      </x:c>
      <x:c r="J45" s="40" t="n">
        <x:f>E45*Assumptions!H8</x:f>
        <x:v>44003872.703538075</x:v>
      </x:c>
      <x:c r="K45" s="40" t="n">
        <x:f>F45+G45-H45-I45-J45-Assumptions!D28*MIN(1,D45/'Annual model'!D22)</x:f>
        <x:v>502029054.0928279</x:v>
      </x:c>
      <x:c r="L45" s="40" t="n">
        <x:f>L44+K45</x:f>
        <x:v>1839914018.2347813</x:v>
      </x:c>
      <x:c r="M45" s="40" t="n">
        <x:v>0</x:v>
      </x:c>
      <x:c r="N45" s="22" t="n">
        <x:f>IF(AND(C45&gt;=1,C45&lt;1+Assumptions!D26),'Annual model'!D17-0,0)</x:f>
        <x:v>0</x:v>
      </x:c>
      <x:c r="O45" s="22" t="n">
        <x:f>IF(AND(C45&gt;=2,C45&lt;2+Assumptions!D26),'Annual model'!E17-'Annual model'!D17,0)</x:f>
        <x:v>0</x:v>
      </x:c>
      <x:c r="P45" s="22" t="n">
        <x:f>IF(AND(C45&gt;=3,C45&lt;3+Assumptions!D26),'Annual model'!F17-'Annual model'!E17,0)</x:f>
        <x:v>0</x:v>
      </x:c>
      <x:c r="Q45" s="22" t="n">
        <x:f>IF(AND(C45&gt;=4,C45&lt;4+Assumptions!D26),'Annual model'!G17-'Annual model'!F17,0)</x:f>
        <x:v>0</x:v>
      </x:c>
      <x:c r="R45" s="22" t="n">
        <x:f>IF(AND(C45&gt;=5,C45&lt;5+Assumptions!D26),'Annual model'!H17-'Annual model'!G17,0)</x:f>
        <x:v>0</x:v>
      </x:c>
      <x:c r="S45" s="32" t="n">
        <x:f>IF(AND(C45&gt;=6,C45&lt;6+Assumptions!D26),'Annual model'!I17-'Annual model'!H17,0)</x:f>
        <x:v>0</x:v>
      </x:c>
      <x:c r="T45" s="32" t="n">
        <x:f>IF(AND(C45&gt;=7,C45&lt;7+Assumptions!D26),'Annual model'!J17-'Annual model'!I17,0)</x:f>
        <x:v>0</x:v>
      </x:c>
      <x:c r="U45" s="32" t="n">
        <x:f>IF(AND(C45&gt;=8,C45&lt;8+Assumptions!D26),'Annual model'!K17-'Annual model'!J17,0)</x:f>
        <x:v>0</x:v>
      </x:c>
      <x:c r="V45" s="32" t="n">
        <x:f>IF(AND(C45&gt;=9,C45&lt;9+Assumptions!D26),'Annual model'!L17-'Annual model'!K17,0)</x:f>
        <x:v>0</x:v>
      </x:c>
      <x:c r="W45" s="32" t="n">
        <x:f>IF(AND(C45&gt;=10,C45&lt;10+Assumptions!D26),'Annual model'!M17-'Annual model'!L17,0)</x:f>
        <x:v>0</x:v>
      </x:c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</x:sheetData>
  <x:pageMargins left="0.7" right="0.7" top="0.75" bottom="0.75" header="0.3" footer="0.3"/>
</x:worksheet>
</file>